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BF43FEB9-86D5-4CFC-950D-21EE89CAE80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Forensics TTA Calendar 2026" sheetId="16" r:id="rId1"/>
  </sheets>
  <definedNames>
    <definedName name="AprSun1">DATE(CalendarYear,4,1)-WEEKDAY(DATE(CalendarYear,4,1))</definedName>
    <definedName name="AugSun1">DATE(CalendarYear,8,1)-WEEKDAY(DATE(CalendarYear,8,1))</definedName>
    <definedName name="CalendarYear">'Forensics TTA Calendar 2026'!$AC$1</definedName>
    <definedName name="DecSun1">DATE(CalendarYear,12,1)-WEEKDAY(DATE(CalendarYear,12,1))</definedName>
    <definedName name="EventDate">#REF!</definedName>
    <definedName name="FebSun1">DATE(CalendarYear,2,1)-WEEKDAY(DATE(CalendarYear,2,1))</definedName>
    <definedName name="JanSun1">DATE(CalendarYear,1,1)-WEEKDAY(DATE(CalendarYear,1,1))</definedName>
    <definedName name="January">'Forensics TTA Calendar 2026'!$B$5:$H$12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OtherDate">#REF!</definedName>
    <definedName name="Pattern_Start">#REF!</definedName>
    <definedName name="Range_Days">'Forensics TTA Calendar 2026'!$B$7:$H$12,'Forensics TTA Calendar 2026'!$J$7:$P$12,'Forensics TTA Calendar 2026'!$R$7:$X$12,'Forensics TTA Calendar 2026'!$Z$7:$AF$12,'Forensics TTA Calendar 2026'!$B$16:$H$21,'Forensics TTA Calendar 2026'!$J$16:$P$21,'Forensics TTA Calendar 2026'!$R$16:$X$21,'Forensics TTA Calendar 2026'!$Z$16:$AF$21,'Forensics TTA Calendar 2026'!$B$25:$H$30,'Forensics TTA Calendar 2026'!$J$25:$P$30,'Forensics TTA Calendar 2026'!$R$25:$X$30,'Forensics TTA Calendar 2026'!$Z$25:$AF$30</definedName>
    <definedName name="SepSun1">DATE(CalendarYear,9,1)-WEEKDAY(DATE(CalendarYear,9,1))</definedName>
    <definedName name="Shift_Pattern">#REF!</definedName>
    <definedName name="Shift1_Code">#REF!</definedName>
    <definedName name="Shift2_Code">#REF!</definedName>
    <definedName name="Shift3_Code">#REF!</definedName>
    <definedName name="TrainingDa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6" l="1"/>
  <c r="G8" i="16"/>
  <c r="E7" i="16"/>
  <c r="G7" i="16"/>
  <c r="G28" i="16"/>
  <c r="B9" i="16"/>
  <c r="G9" i="16"/>
  <c r="H9" i="16"/>
  <c r="H16" i="16"/>
  <c r="AE11" i="16"/>
  <c r="O18" i="16"/>
  <c r="R10" i="16"/>
  <c r="R11" i="16"/>
  <c r="AF30" i="16"/>
  <c r="AE30" i="16"/>
  <c r="AD30" i="16"/>
  <c r="AC30" i="16"/>
  <c r="AB30" i="16"/>
  <c r="AA30" i="16"/>
  <c r="Z30" i="16"/>
  <c r="X30" i="16"/>
  <c r="W30" i="16"/>
  <c r="V30" i="16"/>
  <c r="U30" i="16"/>
  <c r="T30" i="16"/>
  <c r="S30" i="16"/>
  <c r="R30" i="16"/>
  <c r="P30" i="16"/>
  <c r="N30" i="16"/>
  <c r="M30" i="16"/>
  <c r="L30" i="16"/>
  <c r="K30" i="16"/>
  <c r="J30" i="16"/>
  <c r="H30" i="16"/>
  <c r="G30" i="16"/>
  <c r="F30" i="16"/>
  <c r="E30" i="16"/>
  <c r="D30" i="16"/>
  <c r="C30" i="16"/>
  <c r="B30" i="16"/>
  <c r="AF29" i="16"/>
  <c r="AE29" i="16"/>
  <c r="AD29" i="16"/>
  <c r="AC29" i="16"/>
  <c r="AB29" i="16"/>
  <c r="AA29" i="16"/>
  <c r="Z29" i="16"/>
  <c r="X29" i="16"/>
  <c r="W29" i="16"/>
  <c r="V29" i="16"/>
  <c r="U29" i="16"/>
  <c r="T29" i="16"/>
  <c r="S29" i="16"/>
  <c r="R29" i="16"/>
  <c r="H29" i="16"/>
  <c r="G29" i="16"/>
  <c r="F29" i="16"/>
  <c r="E29" i="16"/>
  <c r="AF28" i="16"/>
  <c r="AE28" i="16"/>
  <c r="AD28" i="16"/>
  <c r="AC28" i="16"/>
  <c r="AB28" i="16"/>
  <c r="AA28" i="16"/>
  <c r="Z28" i="16"/>
  <c r="X28" i="16"/>
  <c r="W28" i="16"/>
  <c r="V28" i="16"/>
  <c r="U28" i="16"/>
  <c r="T28" i="16"/>
  <c r="S28" i="16"/>
  <c r="R28" i="16"/>
  <c r="O28" i="16"/>
  <c r="N28" i="16"/>
  <c r="AF27" i="16"/>
  <c r="AE27" i="16"/>
  <c r="AD27" i="16"/>
  <c r="AC27" i="16"/>
  <c r="AB27" i="16"/>
  <c r="AA27" i="16"/>
  <c r="Z27" i="16"/>
  <c r="X27" i="16"/>
  <c r="W27" i="16"/>
  <c r="V27" i="16"/>
  <c r="U27" i="16"/>
  <c r="T27" i="16"/>
  <c r="S27" i="16"/>
  <c r="R27" i="16"/>
  <c r="N27" i="16"/>
  <c r="M27" i="16"/>
  <c r="L27" i="16"/>
  <c r="K27" i="16"/>
  <c r="J27" i="16"/>
  <c r="G27" i="16"/>
  <c r="F27" i="16"/>
  <c r="C27" i="16"/>
  <c r="B27" i="16"/>
  <c r="AF26" i="16"/>
  <c r="AE26" i="16"/>
  <c r="AD26" i="16"/>
  <c r="AC26" i="16"/>
  <c r="AB26" i="16"/>
  <c r="AA26" i="16"/>
  <c r="Z26" i="16"/>
  <c r="X26" i="16"/>
  <c r="W26" i="16"/>
  <c r="R26" i="16"/>
  <c r="P26" i="16"/>
  <c r="J26" i="16"/>
  <c r="H26" i="16"/>
  <c r="G26" i="16"/>
  <c r="F26" i="16"/>
  <c r="E26" i="16"/>
  <c r="D26" i="16"/>
  <c r="C26" i="16"/>
  <c r="B26" i="16"/>
  <c r="AF25" i="16"/>
  <c r="AE25" i="16"/>
  <c r="AD25" i="16"/>
  <c r="AC25" i="16"/>
  <c r="AB25" i="16"/>
  <c r="AA25" i="16"/>
  <c r="Z25" i="16"/>
  <c r="X25" i="16"/>
  <c r="W25" i="16"/>
  <c r="V25" i="16"/>
  <c r="U25" i="16"/>
  <c r="T25" i="16"/>
  <c r="S25" i="16"/>
  <c r="R25" i="16"/>
  <c r="P25" i="16"/>
  <c r="O25" i="16"/>
  <c r="N25" i="16"/>
  <c r="M25" i="16"/>
  <c r="L25" i="16"/>
  <c r="K25" i="16"/>
  <c r="J25" i="16"/>
  <c r="H25" i="16"/>
  <c r="G25" i="16"/>
  <c r="F25" i="16"/>
  <c r="E25" i="16"/>
  <c r="D25" i="16"/>
  <c r="C25" i="16"/>
  <c r="B25" i="16"/>
  <c r="AF21" i="16"/>
  <c r="AE21" i="16"/>
  <c r="AD21" i="16"/>
  <c r="AC21" i="16"/>
  <c r="AB21" i="16"/>
  <c r="AA21" i="16"/>
  <c r="Z21" i="16"/>
  <c r="X21" i="16"/>
  <c r="W21" i="16"/>
  <c r="V21" i="16"/>
  <c r="U21" i="16"/>
  <c r="T21" i="16"/>
  <c r="S21" i="16"/>
  <c r="R21" i="16"/>
  <c r="P21" i="16"/>
  <c r="O21" i="16"/>
  <c r="N21" i="16"/>
  <c r="M21" i="16"/>
  <c r="L21" i="16"/>
  <c r="K21" i="16"/>
  <c r="J21" i="16"/>
  <c r="H21" i="16"/>
  <c r="G21" i="16"/>
  <c r="F21" i="16"/>
  <c r="E21" i="16"/>
  <c r="D21" i="16"/>
  <c r="C21" i="16"/>
  <c r="B21" i="16"/>
  <c r="AF20" i="16"/>
  <c r="X20" i="16"/>
  <c r="W20" i="16"/>
  <c r="V20" i="16"/>
  <c r="U20" i="16"/>
  <c r="T20" i="16"/>
  <c r="S20" i="16"/>
  <c r="R20" i="16"/>
  <c r="P20" i="16"/>
  <c r="O20" i="16"/>
  <c r="N20" i="16"/>
  <c r="M20" i="16"/>
  <c r="L20" i="16"/>
  <c r="K20" i="16"/>
  <c r="J20" i="16"/>
  <c r="H20" i="16"/>
  <c r="X19" i="16"/>
  <c r="W19" i="16"/>
  <c r="P19" i="16"/>
  <c r="O19" i="16"/>
  <c r="K19" i="16"/>
  <c r="J19" i="16"/>
  <c r="H19" i="16"/>
  <c r="G19" i="16"/>
  <c r="X18" i="16"/>
  <c r="W18" i="16"/>
  <c r="S18" i="16"/>
  <c r="R18" i="16"/>
  <c r="P18" i="16"/>
  <c r="N18" i="16"/>
  <c r="M18" i="16"/>
  <c r="L18" i="16"/>
  <c r="K18" i="16"/>
  <c r="J18" i="16"/>
  <c r="H18" i="16"/>
  <c r="AF17" i="16"/>
  <c r="X17" i="16"/>
  <c r="R17" i="16"/>
  <c r="P17" i="16"/>
  <c r="O17" i="16"/>
  <c r="N17" i="16"/>
  <c r="M17" i="16"/>
  <c r="J17" i="16"/>
  <c r="H17" i="16"/>
  <c r="G17" i="16"/>
  <c r="C17" i="16"/>
  <c r="B17" i="16"/>
  <c r="AF16" i="16"/>
  <c r="AE16" i="16"/>
  <c r="AD16" i="16"/>
  <c r="AC16" i="16"/>
  <c r="AB16" i="16"/>
  <c r="AA16" i="16"/>
  <c r="Z16" i="16"/>
  <c r="X16" i="16"/>
  <c r="W16" i="16"/>
  <c r="V16" i="16"/>
  <c r="U16" i="16"/>
  <c r="T16" i="16"/>
  <c r="S16" i="16"/>
  <c r="R16" i="16"/>
  <c r="P16" i="16"/>
  <c r="K16" i="16"/>
  <c r="J16" i="16"/>
  <c r="E16" i="16"/>
  <c r="D16" i="16"/>
  <c r="C16" i="16"/>
  <c r="B16" i="16"/>
  <c r="AF12" i="16"/>
  <c r="AE12" i="16"/>
  <c r="AD12" i="16"/>
  <c r="AC12" i="16"/>
  <c r="AB12" i="16"/>
  <c r="AA12" i="16"/>
  <c r="Z12" i="16"/>
  <c r="X12" i="16"/>
  <c r="W12" i="16"/>
  <c r="V12" i="16"/>
  <c r="U12" i="16"/>
  <c r="T12" i="16"/>
  <c r="S12" i="16"/>
  <c r="R12" i="16"/>
  <c r="P12" i="16"/>
  <c r="O12" i="16"/>
  <c r="N12" i="16"/>
  <c r="M12" i="16"/>
  <c r="L12" i="16"/>
  <c r="K12" i="16"/>
  <c r="J12" i="16"/>
  <c r="H12" i="16"/>
  <c r="G12" i="16"/>
  <c r="F12" i="16"/>
  <c r="E12" i="16"/>
  <c r="D12" i="16"/>
  <c r="C12" i="16"/>
  <c r="B12" i="16"/>
  <c r="AF11" i="16"/>
  <c r="Z11" i="16"/>
  <c r="X11" i="16"/>
  <c r="W11" i="16"/>
  <c r="S11" i="16"/>
  <c r="P11" i="16"/>
  <c r="O11" i="16"/>
  <c r="M11" i="16"/>
  <c r="L11" i="16"/>
  <c r="K11" i="16"/>
  <c r="J11" i="16"/>
  <c r="H11" i="16"/>
  <c r="G11" i="16"/>
  <c r="F11" i="16"/>
  <c r="E11" i="16"/>
  <c r="D11" i="16"/>
  <c r="C11" i="16"/>
  <c r="B11" i="16"/>
  <c r="AF10" i="16"/>
  <c r="AE10" i="16"/>
  <c r="AA10" i="16"/>
  <c r="Z10" i="16"/>
  <c r="X10" i="16"/>
  <c r="J10" i="16"/>
  <c r="H10" i="16"/>
  <c r="G10" i="16"/>
  <c r="F10" i="16"/>
  <c r="E10" i="16"/>
  <c r="D10" i="16"/>
  <c r="C10" i="16"/>
  <c r="B10" i="16"/>
  <c r="AF9" i="16"/>
  <c r="Z9" i="16"/>
  <c r="X9" i="16"/>
  <c r="W9" i="16"/>
  <c r="V9" i="16"/>
  <c r="U9" i="16"/>
  <c r="T9" i="16"/>
  <c r="S9" i="16"/>
  <c r="R9" i="16"/>
  <c r="P9" i="16"/>
  <c r="O9" i="16"/>
  <c r="L9" i="16"/>
  <c r="K9" i="16"/>
  <c r="J9" i="16"/>
  <c r="X8" i="16"/>
  <c r="W8" i="16"/>
  <c r="V8" i="16"/>
  <c r="U8" i="16"/>
  <c r="T8" i="16"/>
  <c r="S8" i="16"/>
  <c r="R8" i="16"/>
  <c r="J8" i="16"/>
  <c r="H8" i="16"/>
  <c r="F8" i="16"/>
  <c r="E8" i="16"/>
  <c r="D8" i="16"/>
  <c r="C8" i="16"/>
  <c r="B8" i="16"/>
  <c r="AC7" i="16"/>
  <c r="AB7" i="16"/>
  <c r="AA7" i="16"/>
  <c r="Z7" i="16"/>
  <c r="X7" i="16"/>
  <c r="W7" i="16"/>
  <c r="V7" i="16"/>
  <c r="P7" i="16"/>
  <c r="O7" i="16"/>
  <c r="N7" i="16"/>
  <c r="K7" i="16"/>
  <c r="J7" i="16"/>
  <c r="H7" i="16"/>
  <c r="F7" i="16"/>
  <c r="D7" i="16"/>
  <c r="C7" i="16"/>
  <c r="B7" i="16"/>
</calcChain>
</file>

<file path=xl/sharedStrings.xml><?xml version="1.0" encoding="utf-8"?>
<sst xmlns="http://schemas.openxmlformats.org/spreadsheetml/2006/main" count="133" uniqueCount="52">
  <si>
    <r>
      <rPr>
        <sz val="40"/>
        <color theme="8" tint="-0.499984740745262"/>
        <rFont val="Franklin Gothic Medium"/>
        <family val="2"/>
        <scheme val="major"/>
      </rPr>
      <t>Forensic TTA</t>
    </r>
    <r>
      <rPr>
        <sz val="40"/>
        <color theme="7" tint="-0.499984740745262"/>
        <rFont val="Franklin Gothic Medium"/>
        <family val="2"/>
        <scheme val="major"/>
      </rPr>
      <t xml:space="preserve"> </t>
    </r>
    <r>
      <rPr>
        <sz val="40"/>
        <color theme="3"/>
        <rFont val="Franklin Gothic Medium"/>
        <family val="2"/>
        <scheme val="major"/>
      </rPr>
      <t>Calendar</t>
    </r>
  </si>
  <si>
    <t>Conferences</t>
  </si>
  <si>
    <t>Trainings</t>
  </si>
  <si>
    <t>Other</t>
  </si>
  <si>
    <t>January 2026</t>
  </si>
  <si>
    <t>February 2026</t>
  </si>
  <si>
    <t>March 2026</t>
  </si>
  <si>
    <t>April 2026</t>
  </si>
  <si>
    <t>Sun.</t>
  </si>
  <si>
    <t>Mon.</t>
  </si>
  <si>
    <t>Tue.</t>
  </si>
  <si>
    <t>Wed.</t>
  </si>
  <si>
    <t>Thu.</t>
  </si>
  <si>
    <t>Fri.</t>
  </si>
  <si>
    <t>Sat.</t>
  </si>
  <si>
    <t>National District Attorneys Association Prosecutor Advocacy Conference</t>
  </si>
  <si>
    <t>International Association of Coroners &amp; Medical Examiners Spring Conference</t>
  </si>
  <si>
    <t>American Academy of Forensic Science Annual Conference</t>
  </si>
  <si>
    <t>Bode Technology Conference</t>
  </si>
  <si>
    <t>Multiple Conferences</t>
  </si>
  <si>
    <t>Innocence Network Conference</t>
  </si>
  <si>
    <t>Scientific Working Group on DNA Analysis Methods Regular Meeting</t>
  </si>
  <si>
    <t>OJP Basic Financial Management Training #1</t>
  </si>
  <si>
    <t>OJP Basic Financial Management Training #2</t>
  </si>
  <si>
    <t>Southern Association of Forensic Scientists Annual Meeting</t>
  </si>
  <si>
    <t>OJP Advanced Financial Management Training #1</t>
  </si>
  <si>
    <t>National Missing and Unidentified Persons Conference</t>
  </si>
  <si>
    <t>May 2026</t>
  </si>
  <si>
    <t>June 2026</t>
  </si>
  <si>
    <t>July 2026</t>
  </si>
  <si>
    <t>August 2026</t>
  </si>
  <si>
    <t>International Homicide Investigators Association Annual Symposium</t>
  </si>
  <si>
    <t>American Society of Crime Labratory Directors Annual Symposium</t>
  </si>
  <si>
    <t>Conference on Crimes Against Women</t>
  </si>
  <si>
    <t>OJP Basic Financial Management Training #3</t>
  </si>
  <si>
    <t>International Association of Coroners &amp; Medical Examiners Annual Conference</t>
  </si>
  <si>
    <t>International Association for Identification Educational Conference</t>
  </si>
  <si>
    <t>OJP Basic Financial Management Training #4</t>
  </si>
  <si>
    <t>Association of Firearm and Tool Mark Examiners Annual Training Seminar</t>
  </si>
  <si>
    <t>OJP Advanced Financial Management Training #2</t>
  </si>
  <si>
    <t>Midwestern Association of Forensic Scientists Annual Meeting</t>
  </si>
  <si>
    <t>September 2026</t>
  </si>
  <si>
    <t>October 2026</t>
  </si>
  <si>
    <t>November 2026</t>
  </si>
  <si>
    <t>December 2026</t>
  </si>
  <si>
    <t>Mid-Atlantic Association of Forensic Scientists &amp; Northeastern Association of Forensic Scientists Joint Annual Meeting</t>
  </si>
  <si>
    <t>Society of Forensic Toxicologists &amp; The International Association of Forensic Toxicologists Joint Meeting</t>
  </si>
  <si>
    <t>OJP Basic Financial Management Training #5</t>
  </si>
  <si>
    <t>National Association of Medical Examiners Annual Meeting</t>
  </si>
  <si>
    <t>International Association of Chiefs of Police Annual Conference</t>
  </si>
  <si>
    <t>International Symposium on Human Identification</t>
  </si>
  <si>
    <t>Southwestern Association of Forensic Scientists Annual Conference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</si>
</sst>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(&quot;KZT&quot;* #,##0_);_(&quot;KZT&quot;* \(#,##0\);_(&quot;KZT&quot;* &quot;-&quot;_);_(@_)"/>
    <numFmt numFmtId="165" formatCode="_(&quot;KZT&quot;* #,##0.00_);_(&quot;KZT&quot;* \(#,##0.00\);_(&quot;KZT&quot;* &quot;-&quot;??_);_(@_)"/>
    <numFmt numFmtId="166" formatCode="d"/>
    <numFmt numFmtId="167" formatCode="m/d/yy;@"/>
  </numFmts>
  <fonts count="53" x14ac:knownFonts="1">
    <font>
      <sz val="12"/>
      <color theme="1"/>
      <name val="Franklin Gothic Book"/>
      <family val="2"/>
      <scheme val="minor"/>
    </font>
    <font>
      <sz val="8"/>
      <name val="Franklin Gothic Book"/>
      <family val="2"/>
      <scheme val="minor"/>
    </font>
    <font>
      <sz val="11"/>
      <color theme="0" tint="-0.499984740745262"/>
      <name val="Calibri"/>
      <family val="2"/>
    </font>
    <font>
      <u/>
      <sz val="12"/>
      <color theme="10"/>
      <name val="Franklin Gothic Book"/>
      <family val="2"/>
      <scheme val="minor"/>
    </font>
    <font>
      <u/>
      <sz val="12"/>
      <color theme="11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sz val="18"/>
      <color theme="3"/>
      <name val="Franklin Gothic Medium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2"/>
      <color rgb="FF006100"/>
      <name val="Franklin Gothic Book"/>
      <family val="2"/>
      <scheme val="minor"/>
    </font>
    <font>
      <sz val="12"/>
      <color rgb="FF9C0006"/>
      <name val="Franklin Gothic Book"/>
      <family val="2"/>
      <scheme val="minor"/>
    </font>
    <font>
      <sz val="12"/>
      <color rgb="FF9C5700"/>
      <name val="Franklin Gothic Book"/>
      <family val="2"/>
      <scheme val="minor"/>
    </font>
    <font>
      <sz val="12"/>
      <color rgb="FF3F3F76"/>
      <name val="Franklin Gothic Book"/>
      <family val="2"/>
      <scheme val="minor"/>
    </font>
    <font>
      <b/>
      <sz val="12"/>
      <color rgb="FF3F3F3F"/>
      <name val="Franklin Gothic Book"/>
      <family val="2"/>
      <scheme val="minor"/>
    </font>
    <font>
      <b/>
      <sz val="12"/>
      <color rgb="FFFA7D00"/>
      <name val="Franklin Gothic Book"/>
      <family val="2"/>
      <scheme val="minor"/>
    </font>
    <font>
      <sz val="12"/>
      <color rgb="FFFA7D00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sz val="12"/>
      <color rgb="FFFF0000"/>
      <name val="Franklin Gothic Book"/>
      <family val="2"/>
      <scheme val="minor"/>
    </font>
    <font>
      <i/>
      <sz val="12"/>
      <color rgb="FF7F7F7F"/>
      <name val="Franklin Gothic Book"/>
      <family val="2"/>
      <scheme val="minor"/>
    </font>
    <font>
      <b/>
      <sz val="12"/>
      <color theme="1"/>
      <name val="Franklin Gothic Book"/>
      <family val="2"/>
      <scheme val="minor"/>
    </font>
    <font>
      <sz val="12"/>
      <color theme="0"/>
      <name val="Franklin Gothic Book"/>
      <family val="2"/>
      <scheme val="minor"/>
    </font>
    <font>
      <b/>
      <sz val="22"/>
      <color theme="0" tint="-0.499984740745262"/>
      <name val="Franklin Gothic Book"/>
      <family val="2"/>
      <scheme val="minor"/>
    </font>
    <font>
      <b/>
      <sz val="9"/>
      <color theme="0"/>
      <name val="Franklin Gothic Book"/>
      <family val="2"/>
      <scheme val="minor"/>
    </font>
    <font>
      <b/>
      <sz val="9"/>
      <color theme="3" tint="-0.249977111117893"/>
      <name val="Franklin Gothic Book"/>
      <family val="2"/>
      <scheme val="minor"/>
    </font>
    <font>
      <sz val="11"/>
      <color theme="0" tint="-0.499984740745262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b/>
      <sz val="9"/>
      <color theme="1"/>
      <name val="Franklin Gothic Book"/>
      <family val="2"/>
      <scheme val="minor"/>
    </font>
    <font>
      <b/>
      <sz val="9"/>
      <color theme="1" tint="4.9989318521683403E-2"/>
      <name val="Franklin Gothic Book"/>
      <family val="2"/>
      <scheme val="minor"/>
    </font>
    <font>
      <b/>
      <sz val="22"/>
      <color theme="7" tint="-0.249977111117893"/>
      <name val="Franklin Gothic Medium"/>
      <family val="2"/>
      <scheme val="major"/>
    </font>
    <font>
      <sz val="10"/>
      <color theme="1"/>
      <name val="Franklin Gothic Medium"/>
      <family val="2"/>
      <scheme val="major"/>
    </font>
    <font>
      <sz val="10"/>
      <color theme="0"/>
      <name val="Franklin Gothic Medium"/>
      <family val="2"/>
      <scheme val="major"/>
    </font>
    <font>
      <sz val="12"/>
      <color theme="1" tint="0.14999847407452621"/>
      <name val="Franklin Gothic Book"/>
      <family val="2"/>
      <scheme val="minor"/>
    </font>
    <font>
      <b/>
      <sz val="12"/>
      <color theme="1" tint="0.14999847407452621"/>
      <name val="Franklin Gothic Book"/>
      <family val="2"/>
      <scheme val="minor"/>
    </font>
    <font>
      <sz val="40"/>
      <color theme="7" tint="-0.499984740745262"/>
      <name val="Franklin Gothic Medium"/>
      <family val="2"/>
      <scheme val="major"/>
    </font>
    <font>
      <b/>
      <sz val="16"/>
      <color theme="7" tint="-0.499984740745262"/>
      <name val="Franklin Gothic Medium"/>
      <family val="2"/>
      <scheme val="major"/>
    </font>
    <font>
      <sz val="11"/>
      <color theme="1" tint="0.14999847407452621"/>
      <name val="Franklin Gothic Book"/>
      <family val="2"/>
      <scheme val="minor"/>
    </font>
    <font>
      <sz val="11"/>
      <color theme="1" tint="0.499984740745262"/>
      <name val="Franklin Gothic Book"/>
      <family val="2"/>
      <scheme val="minor"/>
    </font>
    <font>
      <sz val="16"/>
      <color theme="1"/>
      <name val="Franklin Gothic Book"/>
      <family val="2"/>
      <scheme val="minor"/>
    </font>
    <font>
      <sz val="40"/>
      <color theme="8" tint="-0.499984740745262"/>
      <name val="Franklin Gothic Medium"/>
      <family val="2"/>
      <scheme val="major"/>
    </font>
    <font>
      <sz val="40"/>
      <color theme="3"/>
      <name val="Franklin Gothic Medium"/>
      <family val="2"/>
      <scheme val="major"/>
    </font>
    <font>
      <sz val="16"/>
      <color theme="3"/>
      <name val="Franklin Gothic Medium"/>
      <family val="2"/>
      <scheme val="major"/>
    </font>
    <font>
      <b/>
      <sz val="16"/>
      <color theme="3"/>
      <name val="Franklin Gothic Medium"/>
      <family val="2"/>
      <scheme val="major"/>
    </font>
    <font>
      <sz val="42"/>
      <color theme="3"/>
      <name val="Franklin Gothic Medium"/>
      <family val="2"/>
      <scheme val="major"/>
    </font>
    <font>
      <b/>
      <sz val="11"/>
      <color theme="0" tint="-0.499984740745262"/>
      <name val="Franklin Gothic Book"/>
      <family val="2"/>
      <scheme val="minor"/>
    </font>
    <font>
      <b/>
      <sz val="10"/>
      <color theme="1" tint="0.14999847407452621"/>
      <name val="Franklin Gothic Book"/>
      <family val="2"/>
      <scheme val="minor"/>
    </font>
    <font>
      <u/>
      <sz val="12"/>
      <color theme="0"/>
      <name val="Franklin Gothic Book"/>
      <family val="2"/>
      <scheme val="minor"/>
    </font>
    <font>
      <u/>
      <sz val="12"/>
      <name val="Franklin Gothic Book"/>
      <family val="2"/>
      <scheme val="minor"/>
    </font>
    <font>
      <sz val="12"/>
      <color theme="3"/>
      <name val="Franklin Gothic Book"/>
      <family val="2"/>
      <scheme val="minor"/>
    </font>
    <font>
      <u/>
      <sz val="12"/>
      <color theme="1"/>
      <name val="Franklin Gothic Book"/>
      <family val="2"/>
      <scheme val="minor"/>
    </font>
    <font>
      <u/>
      <sz val="12"/>
      <color rgb="FF000000"/>
      <name val="Franklin Gothic Book"/>
      <family val="2"/>
    </font>
    <font>
      <u/>
      <sz val="12"/>
      <color rgb="FF000000"/>
      <name val="Franklin Gothic Book"/>
      <family val="2"/>
      <scheme val="minor"/>
    </font>
    <font>
      <u/>
      <sz val="12"/>
      <name val="Franklin Gothic Book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499984740745262"/>
        <bgColor indexed="65"/>
      </patternFill>
    </fill>
    <fill>
      <patternFill patternType="lightDown">
        <fgColor theme="3"/>
      </patternFill>
    </fill>
    <fill>
      <patternFill patternType="solid">
        <fgColor theme="8" tint="-0.24994659260841701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lightTrellis">
        <fgColor theme="8" tint="0.59996337778862885"/>
        <bgColor auto="1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theme="8" tint="0.59999389629810485"/>
        </stop>
        <stop position="1">
          <color theme="7" tint="0.59999389629810485"/>
        </stop>
      </gradientFill>
    </fill>
    <fill>
      <gradientFill degree="90">
        <stop position="0">
          <color theme="8" tint="-0.25098422193060094"/>
        </stop>
        <stop position="1">
          <color theme="7" tint="0.59999389629810485"/>
        </stop>
      </gradientFill>
    </fill>
  </fills>
  <borders count="4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0" tint="-0.249977111117893"/>
      </right>
      <top style="thin">
        <color theme="3" tint="-0.49998474074526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3" tint="-0.499984740745262"/>
      </top>
      <bottom/>
      <diagonal/>
    </border>
    <border>
      <left style="thin">
        <color theme="0" tint="-0.249977111117893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8">
    <xf numFmtId="0" fontId="0" fillId="0" borderId="0"/>
    <xf numFmtId="0" fontId="23" fillId="33" borderId="1" applyNumberFormat="0">
      <alignment horizontal="center"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7" fillId="34" borderId="1" applyNumberFormat="0">
      <alignment horizontal="center" vertical="center"/>
    </xf>
    <xf numFmtId="0" fontId="24" fillId="0" borderId="1" applyNumberFormat="0">
      <alignment horizontal="center" vertical="center"/>
    </xf>
    <xf numFmtId="0" fontId="28" fillId="36" borderId="1">
      <alignment horizontal="center" vertical="center"/>
    </xf>
    <xf numFmtId="0" fontId="23" fillId="35" borderId="1">
      <alignment horizontal="center" vertical="center"/>
    </xf>
    <xf numFmtId="0" fontId="28" fillId="29" borderId="1">
      <alignment horizontal="center" vertical="center"/>
    </xf>
    <xf numFmtId="0" fontId="26" fillId="0" borderId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2" fillId="0" borderId="0" xfId="0" applyFont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11" xfId="0" applyFont="1" applyBorder="1" applyAlignment="1">
      <alignment horizontal="left" vertical="center"/>
    </xf>
    <xf numFmtId="0" fontId="25" fillId="0" borderId="11" xfId="0" applyFont="1" applyBorder="1" applyAlignment="1">
      <alignment vertical="center"/>
    </xf>
    <xf numFmtId="0" fontId="33" fillId="0" borderId="0" xfId="0" applyFont="1"/>
    <xf numFmtId="0" fontId="35" fillId="0" borderId="0" xfId="0" applyFont="1" applyAlignment="1">
      <alignment vertical="top"/>
    </xf>
    <xf numFmtId="0" fontId="2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indent="1"/>
    </xf>
    <xf numFmtId="0" fontId="37" fillId="0" borderId="0" xfId="0" applyFont="1" applyAlignment="1">
      <alignment vertical="center"/>
    </xf>
    <xf numFmtId="0" fontId="36" fillId="38" borderId="12" xfId="0" applyFont="1" applyFill="1" applyBorder="1" applyAlignment="1">
      <alignment horizontal="center" vertical="center"/>
    </xf>
    <xf numFmtId="0" fontId="36" fillId="39" borderId="12" xfId="0" applyFont="1" applyFill="1" applyBorder="1" applyAlignment="1">
      <alignment horizontal="center" vertical="center"/>
    </xf>
    <xf numFmtId="0" fontId="36" fillId="40" borderId="12" xfId="0" applyFont="1" applyFill="1" applyBorder="1" applyAlignment="1">
      <alignment horizontal="center" vertical="center"/>
    </xf>
    <xf numFmtId="166" fontId="32" fillId="0" borderId="0" xfId="0" applyNumberFormat="1" applyFont="1" applyAlignment="1">
      <alignment horizontal="center" vertical="center"/>
    </xf>
    <xf numFmtId="166" fontId="32" fillId="0" borderId="0" xfId="0" applyNumberFormat="1" applyFont="1"/>
    <xf numFmtId="166" fontId="35" fillId="0" borderId="0" xfId="0" applyNumberFormat="1" applyFont="1" applyAlignment="1">
      <alignment vertical="top"/>
    </xf>
    <xf numFmtId="166" fontId="30" fillId="0" borderId="0" xfId="0" applyNumberFormat="1" applyFont="1"/>
    <xf numFmtId="166" fontId="30" fillId="0" borderId="0" xfId="0" applyNumberFormat="1" applyFont="1" applyAlignment="1">
      <alignment horizontal="center" vertical="center"/>
    </xf>
    <xf numFmtId="0" fontId="34" fillId="0" borderId="11" xfId="0" applyFont="1" applyBorder="1"/>
    <xf numFmtId="0" fontId="38" fillId="0" borderId="0" xfId="0" applyFont="1"/>
    <xf numFmtId="0" fontId="42" fillId="0" borderId="0" xfId="0" applyFont="1" applyAlignment="1">
      <alignment vertical="top"/>
    </xf>
    <xf numFmtId="166" fontId="4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44" fillId="0" borderId="11" xfId="0" applyFont="1" applyBorder="1" applyAlignment="1">
      <alignment vertical="center"/>
    </xf>
    <xf numFmtId="14" fontId="33" fillId="0" borderId="0" xfId="0" applyNumberFormat="1" applyFont="1"/>
    <xf numFmtId="14" fontId="33" fillId="0" borderId="0" xfId="0" applyNumberFormat="1" applyFont="1" applyAlignment="1">
      <alignment wrapText="1"/>
    </xf>
    <xf numFmtId="167" fontId="45" fillId="0" borderId="0" xfId="0" applyNumberFormat="1" applyFont="1" applyAlignment="1" applyProtection="1">
      <alignment horizontal="left" shrinkToFit="1"/>
      <protection locked="0"/>
    </xf>
    <xf numFmtId="166" fontId="31" fillId="37" borderId="14" xfId="0" applyNumberFormat="1" applyFont="1" applyFill="1" applyBorder="1" applyAlignment="1">
      <alignment horizontal="center" vertical="center"/>
    </xf>
    <xf numFmtId="166" fontId="31" fillId="37" borderId="15" xfId="0" applyNumberFormat="1" applyFont="1" applyFill="1" applyBorder="1" applyAlignment="1">
      <alignment horizontal="center" vertical="center"/>
    </xf>
    <xf numFmtId="166" fontId="31" fillId="37" borderId="16" xfId="0" applyNumberFormat="1" applyFont="1" applyFill="1" applyBorder="1" applyAlignment="1">
      <alignment horizontal="center" vertical="center"/>
    </xf>
    <xf numFmtId="166" fontId="32" fillId="0" borderId="13" xfId="0" applyNumberFormat="1" applyFon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32" fillId="0" borderId="13" xfId="52" applyNumberFormat="1" applyFont="1" applyFill="1" applyBorder="1">
      <alignment horizontal="center" vertical="center"/>
    </xf>
    <xf numFmtId="166" fontId="32" fillId="0" borderId="13" xfId="51" applyNumberFormat="1" applyFont="1" applyBorder="1">
      <alignment horizontal="center" vertical="center"/>
    </xf>
    <xf numFmtId="166" fontId="32" fillId="0" borderId="13" xfId="53" applyNumberFormat="1" applyFont="1" applyFill="1" applyBorder="1">
      <alignment horizontal="center" vertical="center"/>
    </xf>
    <xf numFmtId="166" fontId="32" fillId="0" borderId="13" xfId="1" applyNumberFormat="1" applyFont="1" applyFill="1" applyBorder="1">
      <alignment horizontal="center" vertical="center"/>
    </xf>
    <xf numFmtId="166" fontId="32" fillId="0" borderId="13" xfId="50" applyNumberFormat="1" applyFont="1" applyFill="1" applyBorder="1">
      <alignment horizontal="center" vertical="center"/>
    </xf>
    <xf numFmtId="166" fontId="32" fillId="0" borderId="13" xfId="54" applyNumberFormat="1" applyFont="1" applyFill="1" applyBorder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166" fontId="32" fillId="0" borderId="13" xfId="52" applyNumberFormat="1" applyFont="1" applyFill="1" applyBorder="1" applyAlignment="1">
      <alignment horizontal="center" vertical="center" wrapText="1"/>
    </xf>
    <xf numFmtId="166" fontId="32" fillId="0" borderId="17" xfId="53" applyNumberFormat="1" applyFont="1" applyFill="1" applyBorder="1">
      <alignment horizontal="center" vertical="center"/>
    </xf>
    <xf numFmtId="166" fontId="32" fillId="0" borderId="20" xfId="0" applyNumberFormat="1" applyFont="1" applyBorder="1" applyAlignment="1">
      <alignment horizontal="center" vertical="center"/>
    </xf>
    <xf numFmtId="166" fontId="32" fillId="0" borderId="20" xfId="52" applyNumberFormat="1" applyFont="1" applyFill="1" applyBorder="1">
      <alignment horizontal="center" vertical="center"/>
    </xf>
    <xf numFmtId="166" fontId="32" fillId="0" borderId="20" xfId="51" applyNumberFormat="1" applyFont="1" applyBorder="1">
      <alignment horizontal="center" vertical="center"/>
    </xf>
    <xf numFmtId="166" fontId="32" fillId="0" borderId="21" xfId="51" applyNumberFormat="1" applyFont="1" applyBorder="1">
      <alignment horizontal="center" vertical="center"/>
    </xf>
    <xf numFmtId="166" fontId="32" fillId="0" borderId="21" xfId="53" applyNumberFormat="1" applyFont="1" applyFill="1" applyBorder="1">
      <alignment horizontal="center" vertical="center"/>
    </xf>
    <xf numFmtId="166" fontId="32" fillId="0" borderId="21" xfId="54" applyNumberFormat="1" applyFont="1" applyFill="1" applyBorder="1">
      <alignment horizontal="center" vertical="center"/>
    </xf>
    <xf numFmtId="166" fontId="48" fillId="0" borderId="0" xfId="0" applyNumberFormat="1" applyFont="1" applyAlignment="1">
      <alignment horizontal="center" vertical="center"/>
    </xf>
    <xf numFmtId="166" fontId="32" fillId="38" borderId="13" xfId="51" applyNumberFormat="1" applyFont="1" applyFill="1" applyBorder="1">
      <alignment horizontal="center" vertical="center"/>
    </xf>
    <xf numFmtId="166" fontId="3" fillId="38" borderId="13" xfId="57" applyNumberFormat="1" applyFill="1" applyBorder="1" applyAlignment="1">
      <alignment horizontal="center" vertical="center"/>
    </xf>
    <xf numFmtId="166" fontId="32" fillId="0" borderId="20" xfId="53" applyNumberFormat="1" applyFont="1" applyFill="1" applyBorder="1">
      <alignment horizontal="center" vertical="center"/>
    </xf>
    <xf numFmtId="166" fontId="32" fillId="0" borderId="24" xfId="50" applyNumberFormat="1" applyFont="1" applyFill="1" applyBorder="1">
      <alignment horizontal="center" vertical="center"/>
    </xf>
    <xf numFmtId="166" fontId="32" fillId="0" borderId="25" xfId="50" applyNumberFormat="1" applyFont="1" applyFill="1" applyBorder="1">
      <alignment horizontal="center" vertical="center"/>
    </xf>
    <xf numFmtId="166" fontId="32" fillId="0" borderId="20" xfId="54" applyNumberFormat="1" applyFont="1" applyFill="1" applyBorder="1">
      <alignment horizontal="center" vertical="center"/>
    </xf>
    <xf numFmtId="166" fontId="32" fillId="0" borderId="26" xfId="51" applyNumberFormat="1" applyFont="1" applyBorder="1">
      <alignment horizontal="center" vertical="center"/>
    </xf>
    <xf numFmtId="166" fontId="32" fillId="0" borderId="19" xfId="0" applyNumberFormat="1" applyFont="1" applyBorder="1" applyAlignment="1">
      <alignment horizontal="center" vertical="center"/>
    </xf>
    <xf numFmtId="166" fontId="32" fillId="0" borderId="31" xfId="1" applyNumberFormat="1" applyFont="1" applyFill="1" applyBorder="1">
      <alignment horizontal="center" vertical="center"/>
    </xf>
    <xf numFmtId="166" fontId="32" fillId="0" borderId="19" xfId="51" applyNumberFormat="1" applyFont="1" applyBorder="1">
      <alignment horizontal="center" vertical="center"/>
    </xf>
    <xf numFmtId="166" fontId="32" fillId="0" borderId="21" xfId="50" applyNumberFormat="1" applyFont="1" applyFill="1" applyBorder="1">
      <alignment horizontal="center" vertical="center"/>
    </xf>
    <xf numFmtId="166" fontId="32" fillId="0" borderId="27" xfId="51" applyNumberFormat="1" applyFont="1" applyBorder="1">
      <alignment horizontal="center" vertical="center"/>
    </xf>
    <xf numFmtId="166" fontId="32" fillId="0" borderId="32" xfId="51" applyNumberFormat="1" applyFont="1" applyBorder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166" fontId="32" fillId="0" borderId="33" xfId="51" applyNumberFormat="1" applyFont="1" applyBorder="1">
      <alignment horizontal="center" vertical="center"/>
    </xf>
    <xf numFmtId="166" fontId="32" fillId="0" borderId="25" xfId="51" applyNumberFormat="1" applyFont="1" applyBorder="1">
      <alignment horizontal="center" vertical="center"/>
    </xf>
    <xf numFmtId="166" fontId="32" fillId="0" borderId="34" xfId="52" applyNumberFormat="1" applyFont="1" applyFill="1" applyBorder="1">
      <alignment horizontal="center" vertical="center"/>
    </xf>
    <xf numFmtId="166" fontId="32" fillId="0" borderId="19" xfId="52" applyNumberFormat="1" applyFont="1" applyFill="1" applyBorder="1">
      <alignment horizontal="center" vertical="center"/>
    </xf>
    <xf numFmtId="0" fontId="0" fillId="0" borderId="20" xfId="0" applyBorder="1" applyAlignment="1">
      <alignment horizontal="center" vertical="center"/>
    </xf>
    <xf numFmtId="166" fontId="49" fillId="38" borderId="13" xfId="57" applyNumberFormat="1" applyFont="1" applyFill="1" applyBorder="1" applyAlignment="1">
      <alignment vertical="center" wrapText="1"/>
    </xf>
    <xf numFmtId="166" fontId="32" fillId="0" borderId="37" xfId="51" applyNumberFormat="1" applyFont="1" applyBorder="1">
      <alignment horizontal="center" vertical="center"/>
    </xf>
    <xf numFmtId="166" fontId="32" fillId="0" borderId="38" xfId="51" applyNumberFormat="1" applyFont="1" applyBorder="1">
      <alignment horizontal="center" vertical="center"/>
    </xf>
    <xf numFmtId="166" fontId="32" fillId="0" borderId="39" xfId="53" applyNumberFormat="1" applyFont="1" applyFill="1" applyBorder="1">
      <alignment horizontal="center" vertical="center"/>
    </xf>
    <xf numFmtId="166" fontId="32" fillId="0" borderId="26" xfId="53" applyNumberFormat="1" applyFont="1" applyFill="1" applyBorder="1">
      <alignment horizontal="center" vertical="center"/>
    </xf>
    <xf numFmtId="0" fontId="0" fillId="0" borderId="24" xfId="0" applyBorder="1" applyAlignment="1">
      <alignment horizontal="center" vertical="center"/>
    </xf>
    <xf numFmtId="166" fontId="32" fillId="0" borderId="28" xfId="1" applyNumberFormat="1" applyFont="1" applyFill="1" applyBorder="1">
      <alignment horizontal="center" vertical="center"/>
    </xf>
    <xf numFmtId="166" fontId="49" fillId="38" borderId="19" xfId="57" applyNumberFormat="1" applyFont="1" applyFill="1" applyBorder="1" applyAlignment="1">
      <alignment horizontal="center" vertical="center" wrapText="1"/>
    </xf>
    <xf numFmtId="166" fontId="47" fillId="38" borderId="40" xfId="57" applyNumberFormat="1" applyFont="1" applyFill="1" applyBorder="1" applyAlignment="1">
      <alignment horizontal="center" vertical="center" wrapText="1"/>
    </xf>
    <xf numFmtId="166" fontId="49" fillId="44" borderId="24" xfId="57" applyNumberFormat="1" applyFont="1" applyFill="1" applyBorder="1" applyAlignment="1">
      <alignment horizontal="center" vertical="center" wrapText="1"/>
    </xf>
    <xf numFmtId="166" fontId="20" fillId="41" borderId="24" xfId="57" applyNumberFormat="1" applyFont="1" applyFill="1" applyBorder="1" applyAlignment="1">
      <alignment horizontal="center" vertical="center" wrapText="1"/>
    </xf>
    <xf numFmtId="166" fontId="20" fillId="41" borderId="43" xfId="57" applyNumberFormat="1" applyFont="1" applyFill="1" applyBorder="1" applyAlignment="1">
      <alignment horizontal="center" vertical="center"/>
    </xf>
    <xf numFmtId="166" fontId="49" fillId="38" borderId="29" xfId="57" applyNumberFormat="1" applyFont="1" applyFill="1" applyBorder="1" applyAlignment="1">
      <alignment horizontal="center" vertical="center" wrapText="1"/>
    </xf>
    <xf numFmtId="166" fontId="49" fillId="38" borderId="24" xfId="57" applyNumberFormat="1" applyFont="1" applyFill="1" applyBorder="1" applyAlignment="1">
      <alignment horizontal="center" vertical="center" wrapText="1"/>
    </xf>
    <xf numFmtId="166" fontId="20" fillId="41" borderId="43" xfId="57" applyNumberFormat="1" applyFont="1" applyFill="1" applyBorder="1" applyAlignment="1">
      <alignment horizontal="center" vertical="center" wrapText="1"/>
    </xf>
    <xf numFmtId="166" fontId="20" fillId="41" borderId="44" xfId="57" applyNumberFormat="1" applyFont="1" applyFill="1" applyBorder="1" applyAlignment="1">
      <alignment horizontal="center" vertical="center" wrapText="1"/>
    </xf>
    <xf numFmtId="166" fontId="49" fillId="38" borderId="23" xfId="57" applyNumberFormat="1" applyFont="1" applyFill="1" applyBorder="1" applyAlignment="1">
      <alignment horizontal="center" vertical="center"/>
    </xf>
    <xf numFmtId="166" fontId="49" fillId="38" borderId="22" xfId="57" applyNumberFormat="1" applyFont="1" applyFill="1" applyBorder="1" applyAlignment="1">
      <alignment horizontal="center" vertical="center"/>
    </xf>
    <xf numFmtId="166" fontId="49" fillId="38" borderId="28" xfId="57" applyNumberFormat="1" applyFont="1" applyFill="1" applyBorder="1" applyAlignment="1">
      <alignment horizontal="center" vertical="center"/>
    </xf>
    <xf numFmtId="166" fontId="50" fillId="38" borderId="17" xfId="57" applyNumberFormat="1" applyFont="1" applyFill="1" applyBorder="1" applyAlignment="1">
      <alignment horizontal="center" vertical="center" wrapText="1"/>
    </xf>
    <xf numFmtId="166" fontId="49" fillId="38" borderId="18" xfId="57" applyNumberFormat="1" applyFont="1" applyFill="1" applyBorder="1" applyAlignment="1">
      <alignment horizontal="center" vertical="center" wrapText="1"/>
    </xf>
    <xf numFmtId="166" fontId="49" fillId="38" borderId="19" xfId="57" applyNumberFormat="1" applyFont="1" applyFill="1" applyBorder="1" applyAlignment="1">
      <alignment horizontal="center" vertical="center" wrapText="1"/>
    </xf>
    <xf numFmtId="0" fontId="46" fillId="40" borderId="17" xfId="57" applyFont="1" applyFill="1" applyBorder="1" applyAlignment="1">
      <alignment horizontal="center" vertical="center" wrapText="1"/>
    </xf>
    <xf numFmtId="0" fontId="46" fillId="40" borderId="18" xfId="57" applyFont="1" applyFill="1" applyBorder="1" applyAlignment="1">
      <alignment horizontal="center" vertical="center" wrapText="1"/>
    </xf>
    <xf numFmtId="0" fontId="46" fillId="40" borderId="19" xfId="57" applyFont="1" applyFill="1" applyBorder="1" applyAlignment="1">
      <alignment horizontal="center" vertical="center" wrapText="1"/>
    </xf>
    <xf numFmtId="166" fontId="49" fillId="38" borderId="20" xfId="57" applyNumberFormat="1" applyFont="1" applyFill="1" applyBorder="1" applyAlignment="1">
      <alignment horizontal="center" vertical="center" wrapText="1"/>
    </xf>
    <xf numFmtId="166" fontId="51" fillId="42" borderId="35" xfId="57" applyNumberFormat="1" applyFont="1" applyFill="1" applyBorder="1" applyAlignment="1">
      <alignment horizontal="center" vertical="center" wrapText="1"/>
    </xf>
    <xf numFmtId="166" fontId="51" fillId="42" borderId="36" xfId="57" applyNumberFormat="1" applyFont="1" applyFill="1" applyBorder="1" applyAlignment="1">
      <alignment horizontal="center" vertical="center" wrapText="1"/>
    </xf>
    <xf numFmtId="166" fontId="51" fillId="42" borderId="17" xfId="57" applyNumberFormat="1" applyFont="1" applyFill="1" applyBorder="1" applyAlignment="1">
      <alignment horizontal="center" vertical="center" wrapText="1"/>
    </xf>
    <xf numFmtId="166" fontId="51" fillId="42" borderId="19" xfId="57" applyNumberFormat="1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right" wrapText="1"/>
    </xf>
    <xf numFmtId="49" fontId="41" fillId="0" borderId="0" xfId="0" applyNumberFormat="1" applyFont="1" applyAlignment="1">
      <alignment horizontal="center" vertical="center"/>
    </xf>
    <xf numFmtId="166" fontId="51" fillId="38" borderId="13" xfId="57" applyNumberFormat="1" applyFont="1" applyFill="1" applyBorder="1" applyAlignment="1">
      <alignment horizontal="center" vertical="center" wrapText="1"/>
    </xf>
    <xf numFmtId="0" fontId="47" fillId="38" borderId="17" xfId="57" applyFont="1" applyFill="1" applyBorder="1" applyAlignment="1">
      <alignment horizontal="center" vertical="center"/>
    </xf>
    <xf numFmtId="0" fontId="47" fillId="38" borderId="18" xfId="57" applyFont="1" applyFill="1" applyBorder="1" applyAlignment="1">
      <alignment horizontal="center" vertical="center"/>
    </xf>
    <xf numFmtId="0" fontId="47" fillId="38" borderId="19" xfId="57" applyFont="1" applyFill="1" applyBorder="1" applyAlignment="1">
      <alignment horizontal="center" vertical="center"/>
    </xf>
    <xf numFmtId="166" fontId="49" fillId="38" borderId="17" xfId="57" applyNumberFormat="1" applyFont="1" applyFill="1" applyBorder="1" applyAlignment="1">
      <alignment horizontal="center" vertical="center"/>
    </xf>
    <xf numFmtId="166" fontId="49" fillId="38" borderId="18" xfId="57" applyNumberFormat="1" applyFont="1" applyFill="1" applyBorder="1" applyAlignment="1">
      <alignment horizontal="center" vertical="center"/>
    </xf>
    <xf numFmtId="0" fontId="46" fillId="40" borderId="35" xfId="57" applyFont="1" applyFill="1" applyBorder="1" applyAlignment="1">
      <alignment horizontal="center" vertical="center" wrapText="1"/>
    </xf>
    <xf numFmtId="0" fontId="46" fillId="40" borderId="0" xfId="57" applyFont="1" applyFill="1" applyBorder="1" applyAlignment="1">
      <alignment horizontal="center" vertical="center" wrapText="1"/>
    </xf>
    <xf numFmtId="166" fontId="52" fillId="43" borderId="13" xfId="57" applyNumberFormat="1" applyFont="1" applyFill="1" applyBorder="1" applyAlignment="1">
      <alignment horizontal="center" vertical="center" wrapText="1"/>
    </xf>
    <xf numFmtId="166" fontId="47" fillId="38" borderId="17" xfId="57" applyNumberFormat="1" applyFont="1" applyFill="1" applyBorder="1" applyAlignment="1">
      <alignment horizontal="center" vertical="center"/>
    </xf>
    <xf numFmtId="166" fontId="47" fillId="38" borderId="18" xfId="57" applyNumberFormat="1" applyFont="1" applyFill="1" applyBorder="1" applyAlignment="1">
      <alignment horizontal="center" vertical="center"/>
    </xf>
    <xf numFmtId="166" fontId="49" fillId="38" borderId="19" xfId="57" applyNumberFormat="1" applyFont="1" applyFill="1" applyBorder="1" applyAlignment="1">
      <alignment horizontal="center" vertical="center"/>
    </xf>
    <xf numFmtId="166" fontId="49" fillId="38" borderId="23" xfId="57" applyNumberFormat="1" applyFont="1" applyFill="1" applyBorder="1" applyAlignment="1">
      <alignment horizontal="center" vertical="center" wrapText="1"/>
    </xf>
    <xf numFmtId="166" fontId="49" fillId="38" borderId="22" xfId="57" applyNumberFormat="1" applyFont="1" applyFill="1" applyBorder="1" applyAlignment="1">
      <alignment horizontal="center" vertical="center" wrapText="1"/>
    </xf>
    <xf numFmtId="166" fontId="49" fillId="38" borderId="28" xfId="57" applyNumberFormat="1" applyFont="1" applyFill="1" applyBorder="1" applyAlignment="1">
      <alignment horizontal="center" vertical="center" wrapText="1"/>
    </xf>
    <xf numFmtId="166" fontId="49" fillId="38" borderId="25" xfId="57" applyNumberFormat="1" applyFont="1" applyFill="1" applyBorder="1" applyAlignment="1">
      <alignment horizontal="center" vertical="center" wrapText="1"/>
    </xf>
    <xf numFmtId="166" fontId="20" fillId="41" borderId="18" xfId="57" applyNumberFormat="1" applyFont="1" applyFill="1" applyBorder="1" applyAlignment="1">
      <alignment horizontal="center" vertical="center" wrapText="1"/>
    </xf>
    <xf numFmtId="166" fontId="20" fillId="41" borderId="19" xfId="57" applyNumberFormat="1" applyFont="1" applyFill="1" applyBorder="1" applyAlignment="1">
      <alignment horizontal="center" vertical="center" wrapText="1"/>
    </xf>
    <xf numFmtId="166" fontId="51" fillId="38" borderId="25" xfId="57" applyNumberFormat="1" applyFont="1" applyFill="1" applyBorder="1" applyAlignment="1">
      <alignment horizontal="center" vertical="center"/>
    </xf>
    <xf numFmtId="166" fontId="51" fillId="38" borderId="41" xfId="57" applyNumberFormat="1" applyFont="1" applyFill="1" applyBorder="1" applyAlignment="1">
      <alignment horizontal="center" vertical="center"/>
    </xf>
    <xf numFmtId="166" fontId="51" fillId="38" borderId="27" xfId="57" applyNumberFormat="1" applyFont="1" applyFill="1" applyBorder="1" applyAlignment="1">
      <alignment horizontal="center" vertical="center"/>
    </xf>
    <xf numFmtId="166" fontId="51" fillId="38" borderId="17" xfId="57" applyNumberFormat="1" applyFont="1" applyFill="1" applyBorder="1" applyAlignment="1">
      <alignment horizontal="center" vertical="center"/>
    </xf>
    <xf numFmtId="166" fontId="51" fillId="38" borderId="18" xfId="57" applyNumberFormat="1" applyFont="1" applyFill="1" applyBorder="1" applyAlignment="1">
      <alignment horizontal="center" vertical="center"/>
    </xf>
    <xf numFmtId="166" fontId="51" fillId="38" borderId="19" xfId="57" applyNumberFormat="1" applyFont="1" applyFill="1" applyBorder="1" applyAlignment="1">
      <alignment horizontal="center" vertical="center"/>
    </xf>
    <xf numFmtId="166" fontId="49" fillId="38" borderId="33" xfId="57" applyNumberFormat="1" applyFont="1" applyFill="1" applyBorder="1" applyAlignment="1">
      <alignment horizontal="center" vertical="center" wrapText="1"/>
    </xf>
    <xf numFmtId="166" fontId="49" fillId="38" borderId="42" xfId="57" applyNumberFormat="1" applyFont="1" applyFill="1" applyBorder="1" applyAlignment="1">
      <alignment horizontal="center" vertical="center" wrapText="1"/>
    </xf>
    <xf numFmtId="166" fontId="49" fillId="38" borderId="26" xfId="57" applyNumberFormat="1" applyFont="1" applyFill="1" applyBorder="1" applyAlignment="1">
      <alignment horizontal="center" vertical="center" wrapText="1"/>
    </xf>
    <xf numFmtId="166" fontId="32" fillId="38" borderId="17" xfId="54" applyNumberFormat="1" applyFont="1" applyFill="1" applyBorder="1" applyAlignment="1">
      <alignment horizontal="center" vertical="center"/>
    </xf>
    <xf numFmtId="166" fontId="32" fillId="38" borderId="19" xfId="54" applyNumberFormat="1" applyFont="1" applyFill="1" applyBorder="1" applyAlignment="1">
      <alignment horizontal="center" vertical="center"/>
    </xf>
    <xf numFmtId="166" fontId="49" fillId="38" borderId="29" xfId="57" applyNumberFormat="1" applyFont="1" applyFill="1" applyBorder="1" applyAlignment="1">
      <alignment horizontal="center" vertical="center" wrapText="1"/>
    </xf>
    <xf numFmtId="166" fontId="49" fillId="38" borderId="30" xfId="57" applyNumberFormat="1" applyFont="1" applyFill="1" applyBorder="1" applyAlignment="1">
      <alignment horizontal="center" vertical="center" wrapText="1"/>
    </xf>
  </cellXfs>
  <cellStyles count="58">
    <cellStyle name="20% - Accent1" xfId="27" builtinId="30" hidden="1"/>
    <cellStyle name="20% - Accent2" xfId="31" builtinId="34" hidden="1"/>
    <cellStyle name="20% - Accent3" xfId="35" builtinId="38" hidden="1"/>
    <cellStyle name="20% - Accent4" xfId="39" builtinId="42" hidden="1"/>
    <cellStyle name="20% - Accent5" xfId="43" builtinId="46" hidden="1"/>
    <cellStyle name="20% - Accent6" xfId="47" builtinId="50" hidden="1"/>
    <cellStyle name="40% - Accent1" xfId="28" builtinId="31" hidden="1"/>
    <cellStyle name="40% - Accent2" xfId="32" builtinId="35" hidden="1"/>
    <cellStyle name="40% - Accent3" xfId="36" builtinId="39" hidden="1"/>
    <cellStyle name="40% - Accent4" xfId="40" builtinId="43" hidden="1"/>
    <cellStyle name="40% - Accent5" xfId="44" builtinId="47" hidden="1"/>
    <cellStyle name="40% - Accent6" xfId="48" builtinId="51" hidden="1"/>
    <cellStyle name="60% - Accent1" xfId="29" builtinId="32" hidden="1"/>
    <cellStyle name="60% - Accent2" xfId="33" builtinId="36" hidden="1"/>
    <cellStyle name="60% - Accent3" xfId="37" builtinId="40" hidden="1"/>
    <cellStyle name="60% - Accent4" xfId="41" builtinId="44" hidden="1"/>
    <cellStyle name="60% - Accent5" xfId="45" builtinId="48" hidden="1"/>
    <cellStyle name="60% - Accent6" xfId="49" builtinId="52" hidden="1"/>
    <cellStyle name="Accent1" xfId="26" builtinId="29" hidden="1"/>
    <cellStyle name="Accent2" xfId="30" builtinId="33" hidden="1"/>
    <cellStyle name="Accent3" xfId="34" builtinId="37" hidden="1"/>
    <cellStyle name="Accent4" xfId="38" builtinId="41" hidden="1"/>
    <cellStyle name="Accent5" xfId="42" builtinId="45" hidden="1"/>
    <cellStyle name="Accent6" xfId="46" builtinId="49" hidden="1"/>
    <cellStyle name="Bad" xfId="15" builtinId="27" hidden="1"/>
    <cellStyle name="Calculation" xfId="19" builtinId="22" hidden="1"/>
    <cellStyle name="Check Cell" xfId="21" builtinId="23" hidden="1"/>
    <cellStyle name="Comma" xfId="4" builtinId="3" hidden="1"/>
    <cellStyle name="Comma [0]" xfId="5" builtinId="6" hidden="1"/>
    <cellStyle name="Currency" xfId="6" builtinId="4" hidden="1"/>
    <cellStyle name="Currency [0]" xfId="7" builtinId="7" hidden="1"/>
    <cellStyle name="Day Off" xfId="51" xr:uid="{00000000-0005-0000-0000-00001F000000}"/>
    <cellStyle name="Day Shift" xfId="52" xr:uid="{00000000-0005-0000-0000-000020000000}"/>
    <cellStyle name="Day/Night Shift" xfId="54" xr:uid="{00000000-0005-0000-0000-000021000000}"/>
    <cellStyle name="Explanatory Text" xfId="24" builtinId="53" hidden="1"/>
    <cellStyle name="Followed Hyperlink" xfId="3" builtinId="9" hidden="1"/>
    <cellStyle name="Followed Hyperlink" xfId="56" builtinId="9" customBuiltin="1"/>
    <cellStyle name="Good" xfId="14" builtinId="26" hidden="1"/>
    <cellStyle name="Heading 1" xfId="10" builtinId="16" hidden="1"/>
    <cellStyle name="Heading 2" xfId="11" builtinId="17" hidden="1"/>
    <cellStyle name="Heading 3" xfId="12" builtinId="18" hidden="1"/>
    <cellStyle name="Heading 4" xfId="13" builtinId="19" hidden="1"/>
    <cellStyle name="Holidays" xfId="1" xr:uid="{00000000-0005-0000-0000-000029000000}"/>
    <cellStyle name="Hyperlink" xfId="2" builtinId="8" hidden="1"/>
    <cellStyle name="Hyperlink" xfId="57" builtinId="8"/>
    <cellStyle name="Input" xfId="17" builtinId="20" hidden="1"/>
    <cellStyle name="Linked Cell" xfId="20" builtinId="24" hidden="1"/>
    <cellStyle name="Neutral" xfId="16" builtinId="28" hidden="1"/>
    <cellStyle name="Night Shift" xfId="53" xr:uid="{00000000-0005-0000-0000-00002E000000}"/>
    <cellStyle name="Non Working" xfId="50" xr:uid="{00000000-0005-0000-0000-00002F000000}"/>
    <cellStyle name="Normal" xfId="0" builtinId="0"/>
    <cellStyle name="Normal 2" xfId="55" xr:uid="{00000000-0005-0000-0000-000031000000}"/>
    <cellStyle name="Note" xfId="23" builtinId="10" hidden="1"/>
    <cellStyle name="Output" xfId="18" builtinId="21" hidden="1"/>
    <cellStyle name="Percent" xfId="8" builtinId="5" hidden="1"/>
    <cellStyle name="Title" xfId="9" builtinId="15" hidden="1"/>
    <cellStyle name="Total" xfId="25" builtinId="25" hidden="1"/>
    <cellStyle name="Warning Text" xfId="22" builtinId="11" hidden="1"/>
  </cellStyles>
  <dxfs count="18"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8" tint="-0.499984740745262"/>
        </patternFill>
      </fill>
    </dxf>
  </dxfs>
  <tableStyles count="0" defaultTableStyle="TableStyleMedium9" defaultPivotStyle="PivotStyleMedium7"/>
  <colors>
    <mruColors>
      <color rgb="FF4D2552"/>
      <color rgb="FFFFFFFF"/>
      <color rgb="FF003EDA"/>
      <color rgb="FF002FA4"/>
      <color rgb="FF5AAB59"/>
      <color rgb="FF6AAB4C"/>
      <color rgb="FFAE452D"/>
      <color rgb="FFC06B3F"/>
      <color rgb="FF4677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783432</xdr:colOff>
      <xdr:row>7</xdr:row>
      <xdr:rowOff>271463</xdr:rowOff>
    </xdr:from>
    <xdr:to>
      <xdr:col>10</xdr:col>
      <xdr:colOff>1050132</xdr:colOff>
      <xdr:row>7</xdr:row>
      <xdr:rowOff>490538</xdr:rowOff>
    </xdr:to>
    <xdr:sp macro="" textlink="">
      <xdr:nvSpPr>
        <xdr:cNvPr id="7" name="5-Point Star 1">
          <a:extLst>
            <a:ext uri="{FF2B5EF4-FFF2-40B4-BE49-F238E27FC236}">
              <a16:creationId xmlns:a16="http://schemas.microsoft.com/office/drawing/2014/main" id="{5445636D-9CCE-29B9-6DA7-4BC1F416DC4A}"/>
            </a:ext>
          </a:extLst>
        </xdr:cNvPr>
        <xdr:cNvSpPr/>
      </xdr:nvSpPr>
      <xdr:spPr>
        <a:xfrm>
          <a:off x="18595182" y="5605463"/>
          <a:ext cx="266700" cy="219075"/>
        </a:xfrm>
        <a:prstGeom prst="star5">
          <a:avLst/>
        </a:prstGeom>
        <a:solidFill>
          <a:schemeClr val="tx1"/>
        </a:solidFill>
        <a:ln w="25400" cap="flat">
          <a:solidFill>
            <a:schemeClr val="tx1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noAutofit/>
        </a:bodyPr>
        <a:lstStyle/>
        <a:p>
          <a: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4D2552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15</xdr:col>
      <xdr:colOff>766763</xdr:colOff>
      <xdr:row>7</xdr:row>
      <xdr:rowOff>269081</xdr:rowOff>
    </xdr:from>
    <xdr:to>
      <xdr:col>15</xdr:col>
      <xdr:colOff>1033463</xdr:colOff>
      <xdr:row>7</xdr:row>
      <xdr:rowOff>488156</xdr:rowOff>
    </xdr:to>
    <xdr:sp macro="" textlink="">
      <xdr:nvSpPr>
        <xdr:cNvPr id="8" name="5-Point Star 2">
          <a:extLst>
            <a:ext uri="{FF2B5EF4-FFF2-40B4-BE49-F238E27FC236}">
              <a16:creationId xmlns:a16="http://schemas.microsoft.com/office/drawing/2014/main" id="{369BB94A-7676-430C-80EE-DE56512F6AA6}"/>
            </a:ext>
            <a:ext uri="{147F2762-F138-4A5C-976F-8EAC2B608ADB}">
              <a16:predDERef xmlns:a16="http://schemas.microsoft.com/office/drawing/2014/main" pred="{5445636D-9CCE-29B9-6DA7-4BC1F416DC4A}"/>
            </a:ext>
          </a:extLst>
        </xdr:cNvPr>
        <xdr:cNvSpPr/>
      </xdr:nvSpPr>
      <xdr:spPr>
        <a:xfrm>
          <a:off x="27484388" y="5603081"/>
          <a:ext cx="266700" cy="219075"/>
        </a:xfrm>
        <a:prstGeom prst="star5">
          <a:avLst/>
        </a:prstGeom>
        <a:solidFill>
          <a:schemeClr val="tx1"/>
        </a:solidFill>
        <a:ln w="25400" cap="flat">
          <a:solidFill>
            <a:schemeClr val="tx1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="horz" wrap="square" lIns="38100" tIns="38100" rIns="38100" bIns="38100" numCol="1" spcCol="3810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 ShiftCalendar">
  <a:themeElements>
    <a:clrScheme name="Letterhead-1">
      <a:dk1>
        <a:srgbClr val="000000"/>
      </a:dk1>
      <a:lt1>
        <a:srgbClr val="FFFFFF"/>
      </a:lt1>
      <a:dk2>
        <a:srgbClr val="5E5E5E"/>
      </a:dk2>
      <a:lt2>
        <a:srgbClr val="D6D5D5"/>
      </a:lt2>
      <a:accent1>
        <a:srgbClr val="DF2D25"/>
      </a:accent1>
      <a:accent2>
        <a:srgbClr val="F9D423"/>
      </a:accent2>
      <a:accent3>
        <a:srgbClr val="62C99E"/>
      </a:accent3>
      <a:accent4>
        <a:srgbClr val="45B9EC"/>
      </a:accent4>
      <a:accent5>
        <a:srgbClr val="9B4BA6"/>
      </a:accent5>
      <a:accent6>
        <a:srgbClr val="EF2F94"/>
      </a:accent6>
      <a:hlink>
        <a:srgbClr val="0000FF"/>
      </a:hlink>
      <a:folHlink>
        <a:srgbClr val="FF00FF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hit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38100" tIns="38100" rIns="38100" bIns="381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2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  <a:extLst>
    <a:ext uri="{05A4C25C-085E-4340-85A3-A5531E510DB2}">
      <thm15:themeFamily xmlns:thm15="http://schemas.microsoft.com/office/thememl/2012/main" name=" ShiftCalendar" id="{C0C15053-41A7-A842-8BD5-207B5038EBEC}" vid="{EDF4B661-04CF-B74B-852D-F3AE147C5ED3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heiacme.com/" TargetMode="External"/><Relationship Id="rId13" Type="http://schemas.openxmlformats.org/officeDocument/2006/relationships/hyperlink" Target="https://www.ojp.gov/training-and-technical-assistance/gfmts/basic-seminar-registration" TargetMode="External"/><Relationship Id="rId18" Type="http://schemas.openxmlformats.org/officeDocument/2006/relationships/hyperlink" Target="https://conferencecaw.org/registration-2026/" TargetMode="External"/><Relationship Id="rId26" Type="http://schemas.openxmlformats.org/officeDocument/2006/relationships/hyperlink" Target="https://www.theiacpconference.org/attend/past-conferences/" TargetMode="External"/><Relationship Id="rId3" Type="http://schemas.openxmlformats.org/officeDocument/2006/relationships/hyperlink" Target="https://www.ndaa.org/events/26prosecutor-advocacy-conference" TargetMode="External"/><Relationship Id="rId21" Type="http://schemas.openxmlformats.org/officeDocument/2006/relationships/hyperlink" Target="https://mafs.net/page-18404" TargetMode="External"/><Relationship Id="rId7" Type="http://schemas.openxmlformats.org/officeDocument/2006/relationships/hyperlink" Target="https://ihia.org/Annual-Symposium" TargetMode="External"/><Relationship Id="rId12" Type="http://schemas.openxmlformats.org/officeDocument/2006/relationships/hyperlink" Target="https://gfmts.training.ojp.gov/index.html" TargetMode="External"/><Relationship Id="rId17" Type="http://schemas.openxmlformats.org/officeDocument/2006/relationships/hyperlink" Target="https://www.ascld.org/ascld-annual-symposium" TargetMode="External"/><Relationship Id="rId25" Type="http://schemas.openxmlformats.org/officeDocument/2006/relationships/hyperlink" Target="https://www.thename.org/future-meetings" TargetMode="External"/><Relationship Id="rId2" Type="http://schemas.openxmlformats.org/officeDocument/2006/relationships/hyperlink" Target="https://theiacme.com/" TargetMode="External"/><Relationship Id="rId16" Type="http://schemas.openxmlformats.org/officeDocument/2006/relationships/hyperlink" Target="https://www.ojp.gov/training-and-technical-assistance/gfmts/advanced-seminar-registration" TargetMode="External"/><Relationship Id="rId20" Type="http://schemas.openxmlformats.org/officeDocument/2006/relationships/hyperlink" Target="https://safsannualmeeting.com/" TargetMode="External"/><Relationship Id="rId29" Type="http://schemas.openxmlformats.org/officeDocument/2006/relationships/hyperlink" Target="https://www.theiai.org/conference_information.php" TargetMode="External"/><Relationship Id="rId1" Type="http://schemas.openxmlformats.org/officeDocument/2006/relationships/hyperlink" Target="https://www.swgdam.org/" TargetMode="External"/><Relationship Id="rId6" Type="http://schemas.openxmlformats.org/officeDocument/2006/relationships/hyperlink" Target="https://innocencenetwork.org/subcategory/conference-2026" TargetMode="External"/><Relationship Id="rId11" Type="http://schemas.openxmlformats.org/officeDocument/2006/relationships/hyperlink" Target="https://www.ojp.gov/training-and-technical-assistance/gfmts/advanced-seminar-registration" TargetMode="External"/><Relationship Id="rId24" Type="http://schemas.openxmlformats.org/officeDocument/2006/relationships/hyperlink" Target="https://swafs.us/annual-conference/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www.bodeconference.com/" TargetMode="External"/><Relationship Id="rId15" Type="http://schemas.openxmlformats.org/officeDocument/2006/relationships/hyperlink" Target="https://www.ojp.gov/training-and-technical-assistance/gfmts/basic-seminar-registration" TargetMode="External"/><Relationship Id="rId23" Type="http://schemas.openxmlformats.org/officeDocument/2006/relationships/hyperlink" Target="https://www.ishinews.com/attend/upcoming-meeting-locations/" TargetMode="External"/><Relationship Id="rId28" Type="http://schemas.openxmlformats.org/officeDocument/2006/relationships/hyperlink" Target="https://na.eventscloud.com/website/84776/" TargetMode="External"/><Relationship Id="rId10" Type="http://schemas.openxmlformats.org/officeDocument/2006/relationships/hyperlink" Target="https://www.ojp.gov/training-and-technical-assistance/gfmts/basic-seminar-registration" TargetMode="External"/><Relationship Id="rId19" Type="http://schemas.openxmlformats.org/officeDocument/2006/relationships/hyperlink" Target="https://www.ojp.gov/training-and-technical-assistance/gfmts/basic-seminar-registration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aafs.org/annual-conference" TargetMode="External"/><Relationship Id="rId9" Type="http://schemas.openxmlformats.org/officeDocument/2006/relationships/hyperlink" Target="https://ncjtc.fvtc.edu/trainings/TR00000143/TRI2584581/national-missing-and-unidentified-persons-conference" TargetMode="External"/><Relationship Id="rId14" Type="http://schemas.openxmlformats.org/officeDocument/2006/relationships/hyperlink" Target="https://www.ojp.gov/training-and-technical-assistance/gfmts/basic-seminar-registration" TargetMode="External"/><Relationship Id="rId22" Type="http://schemas.openxmlformats.org/officeDocument/2006/relationships/hyperlink" Target="https://www.neafs.org/neafs-annual-meeting" TargetMode="External"/><Relationship Id="rId27" Type="http://schemas.openxmlformats.org/officeDocument/2006/relationships/hyperlink" Target="https://www.swgdam.org/" TargetMode="External"/><Relationship Id="rId30" Type="http://schemas.openxmlformats.org/officeDocument/2006/relationships/hyperlink" Target="https://www.soft-tox.org/soft-tiaft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63"/>
  <sheetViews>
    <sheetView showGridLines="0" tabSelected="1" topLeftCell="G1" zoomScaleNormal="100" workbookViewId="0">
      <selection activeCell="G1" sqref="G1"/>
    </sheetView>
  </sheetViews>
  <sheetFormatPr defaultColWidth="20.77734375" defaultRowHeight="60" customHeight="1" x14ac:dyDescent="0.3"/>
  <cols>
    <col min="1" max="16384" width="20.77734375" style="12"/>
  </cols>
  <sheetData>
    <row r="1" spans="1:33" s="1" customFormat="1" ht="60" customHeight="1" x14ac:dyDescent="0.9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9"/>
      <c r="L1" s="10"/>
      <c r="M1" s="11"/>
      <c r="N1" s="11"/>
      <c r="O1" s="11"/>
      <c r="P1" s="11"/>
      <c r="Q1" s="11"/>
      <c r="R1" s="11"/>
      <c r="S1" s="30"/>
      <c r="T1" s="11"/>
      <c r="U1" s="11"/>
      <c r="V1" s="11"/>
      <c r="W1" s="11"/>
      <c r="X1" s="11"/>
      <c r="Y1" s="11"/>
      <c r="Z1" s="11"/>
      <c r="AA1" s="11"/>
      <c r="AB1" s="11"/>
      <c r="AC1" s="105">
        <v>2026</v>
      </c>
      <c r="AD1" s="105"/>
      <c r="AE1" s="105"/>
      <c r="AF1" s="105"/>
      <c r="AG1" s="16"/>
    </row>
    <row r="2" spans="1:33" s="1" customFormat="1" ht="60" customHeight="1" x14ac:dyDescent="0.3">
      <c r="B2" s="5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4" customFormat="1" ht="60" customHeight="1" x14ac:dyDescent="0.3">
      <c r="B3" s="17"/>
      <c r="C3" s="15" t="s">
        <v>1</v>
      </c>
      <c r="H3" s="18"/>
      <c r="I3" s="15" t="s">
        <v>2</v>
      </c>
      <c r="L3" s="14"/>
      <c r="N3" s="19"/>
      <c r="O3" s="15" t="s">
        <v>3</v>
      </c>
    </row>
    <row r="4" spans="1:33" s="1" customFormat="1" ht="60" customHeight="1" x14ac:dyDescent="0.3">
      <c r="B4" s="5"/>
      <c r="C4" s="2"/>
      <c r="D4" s="2"/>
      <c r="E4" s="2"/>
      <c r="F4" s="2"/>
      <c r="G4" s="2"/>
      <c r="H4" s="2"/>
      <c r="I4" s="2"/>
      <c r="J4" s="2"/>
      <c r="K4" s="2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s="13" customFormat="1" ht="60" customHeight="1" x14ac:dyDescent="0.3">
      <c r="B5" s="106" t="s">
        <v>4</v>
      </c>
      <c r="C5" s="106"/>
      <c r="D5" s="106"/>
      <c r="E5" s="106"/>
      <c r="F5" s="106"/>
      <c r="G5" s="106"/>
      <c r="H5" s="106"/>
      <c r="I5" s="27"/>
      <c r="J5" s="106" t="s">
        <v>5</v>
      </c>
      <c r="K5" s="106"/>
      <c r="L5" s="106"/>
      <c r="M5" s="106"/>
      <c r="N5" s="106"/>
      <c r="O5" s="106"/>
      <c r="P5" s="106"/>
      <c r="Q5" s="27"/>
      <c r="R5" s="106" t="s">
        <v>6</v>
      </c>
      <c r="S5" s="106"/>
      <c r="T5" s="106"/>
      <c r="U5" s="106"/>
      <c r="V5" s="106"/>
      <c r="W5" s="106"/>
      <c r="X5" s="106"/>
      <c r="Y5" s="27"/>
      <c r="Z5" s="106" t="s">
        <v>7</v>
      </c>
      <c r="AA5" s="106"/>
      <c r="AB5" s="106"/>
      <c r="AC5" s="106"/>
      <c r="AD5" s="106"/>
      <c r="AE5" s="106"/>
      <c r="AF5" s="106"/>
    </row>
    <row r="6" spans="1:33" s="6" customFormat="1" ht="60" customHeight="1" x14ac:dyDescent="0.25">
      <c r="A6" s="23"/>
      <c r="B6" s="34" t="s">
        <v>8</v>
      </c>
      <c r="C6" s="35" t="s">
        <v>9</v>
      </c>
      <c r="D6" s="35" t="s">
        <v>10</v>
      </c>
      <c r="E6" s="35" t="s">
        <v>11</v>
      </c>
      <c r="F6" s="35" t="s">
        <v>12</v>
      </c>
      <c r="G6" s="35" t="s">
        <v>13</v>
      </c>
      <c r="H6" s="36" t="s">
        <v>14</v>
      </c>
      <c r="I6" s="23"/>
      <c r="J6" s="34" t="s">
        <v>8</v>
      </c>
      <c r="K6" s="35" t="s">
        <v>9</v>
      </c>
      <c r="L6" s="35" t="s">
        <v>10</v>
      </c>
      <c r="M6" s="35" t="s">
        <v>11</v>
      </c>
      <c r="N6" s="35" t="s">
        <v>12</v>
      </c>
      <c r="O6" s="35" t="s">
        <v>13</v>
      </c>
      <c r="P6" s="36" t="s">
        <v>14</v>
      </c>
      <c r="Q6" s="23"/>
      <c r="R6" s="34" t="s">
        <v>8</v>
      </c>
      <c r="S6" s="35" t="s">
        <v>9</v>
      </c>
      <c r="T6" s="35" t="s">
        <v>10</v>
      </c>
      <c r="U6" s="35" t="s">
        <v>11</v>
      </c>
      <c r="V6" s="35" t="s">
        <v>12</v>
      </c>
      <c r="W6" s="35" t="s">
        <v>13</v>
      </c>
      <c r="X6" s="36" t="s">
        <v>14</v>
      </c>
      <c r="Y6" s="23"/>
      <c r="Z6" s="34" t="s">
        <v>8</v>
      </c>
      <c r="AA6" s="35" t="s">
        <v>9</v>
      </c>
      <c r="AB6" s="35" t="s">
        <v>10</v>
      </c>
      <c r="AC6" s="35" t="s">
        <v>11</v>
      </c>
      <c r="AD6" s="35" t="s">
        <v>12</v>
      </c>
      <c r="AE6" s="35" t="s">
        <v>13</v>
      </c>
      <c r="AF6" s="36" t="s">
        <v>14</v>
      </c>
    </row>
    <row r="7" spans="1:33" s="8" customFormat="1" ht="60" customHeight="1" x14ac:dyDescent="0.3">
      <c r="A7" s="20"/>
      <c r="B7" s="37" t="str">
        <f>IF(DAY(JanSun1)=1,"",IF(AND(YEAR(JanSun1+1)=CalendarYear,MONTH(JanSun1+1)=1),JanSun1+1,""))</f>
        <v/>
      </c>
      <c r="C7" s="37" t="str">
        <f>IF(DAY(JanSun1)=1,"",IF(AND(YEAR(JanSun1+2)=CalendarYear,MONTH(JanSun1+2)=1),JanSun1+2,""))</f>
        <v/>
      </c>
      <c r="D7" s="38" t="str">
        <f>IF(DAY(JanSun1)=1,"",IF(AND(YEAR(JanSun1+3)=CalendarYear,MONTH(JanSun1+3)=1),JanSun1+3,""))</f>
        <v/>
      </c>
      <c r="E7" s="39" t="str">
        <f>IF(DAY(JanSun1)=1,"",IF(AND(YEAR(JanSun1+4)=CalendarYear,MONTH(JanSun1+4)=1),JanSun1+4,""))</f>
        <v/>
      </c>
      <c r="F7" s="69">
        <f>IF(DAY(JanSun1)=1,"",IF(AND(YEAR(JanSun1+5)=CalendarYear,MONTH(JanSun1+5)=1),JanSun1+5,""))</f>
        <v>46023</v>
      </c>
      <c r="G7" s="51">
        <f>IF(DAY(JanSun1)=1,"",IF(AND(YEAR(JanSun1+6)=CalendarYear,MONTH(JanSun1+6)=1),JanSun1+6,""))</f>
        <v>46024</v>
      </c>
      <c r="H7" s="40">
        <f>IF(DAY(JanSun1)=1,IF(AND(YEAR(JanSun1)=CalendarYear,MONTH(JanSun1)=1),JanSun1,""),IF(AND(YEAR(JanSun1+7)=CalendarYear,MONTH(JanSun1+7)=1),JanSun1+7,""))</f>
        <v>46025</v>
      </c>
      <c r="I7" s="20"/>
      <c r="J7" s="37">
        <f>IF(DAY(FebSun1)=1,"",IF(AND(YEAR(FebSun1+1)=CalendarYear,MONTH(FebSun1+1)=2),FebSun1+1,""))</f>
        <v>46054</v>
      </c>
      <c r="K7" s="49">
        <f>IF(DAY(FebSun1)=1,"",IF(AND(YEAR(FebSun1+2)=CalendarYear,MONTH(FebSun1+2)=2),FebSun1+2,""))</f>
        <v>46055</v>
      </c>
      <c r="L7" s="100" t="s">
        <v>15</v>
      </c>
      <c r="M7" s="100"/>
      <c r="N7" s="50">
        <f>IF(DAY(FebSun1)=1,"",IF(AND(YEAR(FebSun1+5)=CalendarYear,MONTH(FebSun1+5)=2),FebSun1+5,""))</f>
        <v>46058</v>
      </c>
      <c r="O7" s="51">
        <f>IF(DAY(FebSun1)=1,"",IF(AND(YEAR(FebSun1+6)=CalendarYear,MONTH(FebSun1+6)=2),FebSun1+6,""))</f>
        <v>46059</v>
      </c>
      <c r="P7" s="40">
        <f>IF(DAY(FebSun1)=1,IF(AND(YEAR(FebSun1)=CalendarYear,MONTH(FebSun1)=2),FebSun1,""),IF(AND(YEAR(FebSun1+7)=CalendarYear,MONTH(FebSun1+7)=2),FebSun1+7,""))</f>
        <v>46060</v>
      </c>
      <c r="Q7" s="20"/>
      <c r="R7" s="94" t="s">
        <v>16</v>
      </c>
      <c r="S7" s="95"/>
      <c r="T7" s="95"/>
      <c r="U7" s="96"/>
      <c r="V7" s="39">
        <f>IF(DAY(MarSun1)=1,"",IF(AND(YEAR(MarSun1+5)=CalendarYear,MONTH(MarSun1+5)=3),MarSun1+5,""))</f>
        <v>46086</v>
      </c>
      <c r="W7" s="40">
        <f>IF(DAY(MarSun1)=1,"",IF(AND(YEAR(MarSun1+6)=CalendarYear,MONTH(MarSun1+6)=3),MarSun1+6,""))</f>
        <v>46087</v>
      </c>
      <c r="X7" s="40">
        <f>IF(DAY(MarSun1)=1,IF(AND(YEAR(MarSun1)=CalendarYear,MONTH(MarSun1)=3),MarSun1,""),IF(AND(YEAR(MarSun1+7)=CalendarYear,MONTH(MarSun1+7)=3),MarSun1+7,""))</f>
        <v>46088</v>
      </c>
      <c r="Y7" s="20"/>
      <c r="Z7" s="37" t="str">
        <f>IF(DAY(AprSun1)=1,"",IF(AND(YEAR(AprSun1+1)=CalendarYear,MONTH(AprSun1+1)=4),AprSun1+1,""))</f>
        <v/>
      </c>
      <c r="AA7" s="37" t="str">
        <f>IF(DAY(AprSun1)=1,"",IF(AND(YEAR(AprSun1+2)=CalendarYear,MONTH(AprSun1+2)=4),AprSun1+2,""))</f>
        <v/>
      </c>
      <c r="AB7" s="50" t="str">
        <f>IF(DAY(AprSun1)=1,"",IF(AND(YEAR(AprSun1+3)=CalendarYear,MONTH(AprSun1+3)=4),AprSun1+3,""))</f>
        <v/>
      </c>
      <c r="AC7" s="50">
        <f>IF(DAY(AprSun1)=1,"",IF(AND(YEAR(AprSun1+4)=CalendarYear,MONTH(AprSun1+4)=4),AprSun1+4,""))</f>
        <v>46113</v>
      </c>
      <c r="AD7" s="58">
        <v>2</v>
      </c>
      <c r="AE7" s="58">
        <v>3</v>
      </c>
      <c r="AF7" s="58">
        <v>4</v>
      </c>
    </row>
    <row r="8" spans="1:33" s="8" customFormat="1" ht="60" customHeight="1" x14ac:dyDescent="0.3">
      <c r="A8" s="20"/>
      <c r="B8" s="41">
        <f>IF(DAY(JanSun1)=1,IF(AND(YEAR(JanSun1+1)=CalendarYear,MONTH(JanSun1+1)=1),JanSun1+1,""),IF(AND(YEAR(JanSun1+8)=CalendarYear,MONTH(JanSun1+8)=1),JanSun1+8,""))</f>
        <v>46026</v>
      </c>
      <c r="C8" s="41">
        <f>IF(DAY(JanSun1)=1,IF(AND(YEAR(JanSun1+2)=CalendarYear,MONTH(JanSun1+2)=1),JanSun1+2,""),IF(AND(YEAR(JanSun1+9)=CalendarYear,MONTH(JanSun1+9)=1),JanSun1+9,""))</f>
        <v>46027</v>
      </c>
      <c r="D8" s="41">
        <f>IF(DAY(JanSun1)=1,IF(AND(YEAR(JanSun1+3)=CalendarYear,MONTH(JanSun1+3)=1),JanSun1+3,""),IF(AND(YEAR(JanSun1+10)=CalendarYear,MONTH(JanSun1+10)=1),JanSun1+10,""))</f>
        <v>46028</v>
      </c>
      <c r="E8" s="70">
        <f>IF(DAY(JanSun1)=1,IF(AND(YEAR(JanSun1+4)=CalendarYear,MONTH(JanSun1+4)=1),JanSun1+4,""),IF(AND(YEAR(JanSun1+11)=CalendarYear,MONTH(JanSun1+11)=1),JanSun1+11,""))</f>
        <v>46029</v>
      </c>
      <c r="F8" s="68">
        <f>IF(DAY(JanSun1)=1,IF(AND(YEAR(JanSun1+5)=CalendarYear,MONTH(JanSun1+5)=1),JanSun1+5,""),IF(AND(YEAR(JanSun1+12)=CalendarYear,MONTH(JanSun1+12)=1),JanSun1+12,""))</f>
        <v>46030</v>
      </c>
      <c r="G8" s="72">
        <f>IF(DAY(JanSun1)=1,IF(AND(YEAR(JanSun1+6)=CalendarYear,MONTH(JanSun1+6)=1),JanSun1+6,""),IF(AND(YEAR(JanSun1+13)=CalendarYear,MONTH(JanSun1+13)=1),JanSun1+13,""))</f>
        <v>46031</v>
      </c>
      <c r="H8" s="73">
        <f>IF(DAY(JanSun1)=1,IF(AND(YEAR(JanSun1+7)=CalendarYear,MONTH(JanSun1+7)=1),JanSun1+7,""),IF(AND(YEAR(JanSun1+14)=CalendarYear,MONTH(JanSun1+14)=1),JanSun1+14,""))</f>
        <v>46032</v>
      </c>
      <c r="I8" s="55"/>
      <c r="J8" s="48">
        <f>IF(DAY(FebSun1)=1,IF(AND(YEAR(FebSun1+1)=CalendarYear,MONTH(FebSun1+1)=2),FebSun1+1,""),IF(AND(YEAR(FebSun1+8)=CalendarYear,MONTH(FebSun1+8)=2),FebSun1+8,""))</f>
        <v>46061</v>
      </c>
      <c r="K8" s="91" t="s">
        <v>17</v>
      </c>
      <c r="L8" s="92"/>
      <c r="M8" s="92"/>
      <c r="N8" s="92"/>
      <c r="O8" s="92"/>
      <c r="P8" s="93"/>
      <c r="Q8" s="20"/>
      <c r="R8" s="41">
        <f>IF(DAY(MarSun1)=1,IF(AND(YEAR(MarSun1+1)=CalendarYear,MONTH(MarSun1+1)=3),MarSun1+1,""),IF(AND(YEAR(MarSun1+8)=CalendarYear,MONTH(MarSun1+8)=3),MarSun1+8,""))</f>
        <v>46089</v>
      </c>
      <c r="S8" s="41">
        <f>IF(DAY(MarSun1)=1,IF(AND(YEAR(MarSun1+2)=CalendarYear,MONTH(MarSun1+2)=3),MarSun1+2,""),IF(AND(YEAR(MarSun1+9)=CalendarYear,MONTH(MarSun1+9)=3),MarSun1+9,""))</f>
        <v>46090</v>
      </c>
      <c r="T8" s="38">
        <f>IF(DAY(MarSun1)=1,IF(AND(YEAR(MarSun1+3)=CalendarYear,MONTH(MarSun1+3)=3),MarSun1+3,""),IF(AND(YEAR(MarSun1+10)=CalendarYear,MONTH(MarSun1+10)=3),MarSun1+10,""))</f>
        <v>46091</v>
      </c>
      <c r="U8" s="40">
        <f>IF(DAY(MarSun1)=1,IF(AND(YEAR(MarSun1+4)=CalendarYear,MONTH(MarSun1+4)=3),MarSun1+4,""),IF(AND(YEAR(MarSun1+11)=CalendarYear,MONTH(MarSun1+11)=3),MarSun1+11,""))</f>
        <v>46092</v>
      </c>
      <c r="V8" s="40">
        <f>IF(DAY(MarSun1)=1,IF(AND(YEAR(MarSun1+5)=CalendarYear,MONTH(MarSun1+5)=3),MarSun1+5,""),IF(AND(YEAR(MarSun1+12)=CalendarYear,MONTH(MarSun1+12)=3),MarSun1+12,""))</f>
        <v>46093</v>
      </c>
      <c r="W8" s="39">
        <f>IF(DAY(MarSun1)=1,IF(AND(YEAR(MarSun1+6)=CalendarYear,MONTH(MarSun1+6)=3),MarSun1+6,""),IF(AND(YEAR(MarSun1+13)=CalendarYear,MONTH(MarSun1+13)=3),MarSun1+13,""))</f>
        <v>46094</v>
      </c>
      <c r="X8" s="39">
        <f>IF(DAY(MarSun1)=1,IF(AND(YEAR(MarSun1+7)=CalendarYear,MONTH(MarSun1+7)=3),MarSun1+7,""),IF(AND(YEAR(MarSun1+14)=CalendarYear,MONTH(MarSun1+14)=3),MarSun1+14,""))</f>
        <v>46095</v>
      </c>
      <c r="Y8" s="20"/>
      <c r="Z8" s="41">
        <v>5</v>
      </c>
      <c r="AA8" s="48">
        <v>6</v>
      </c>
      <c r="AB8" s="111" t="s">
        <v>18</v>
      </c>
      <c r="AC8" s="112"/>
      <c r="AD8" s="112"/>
      <c r="AE8" s="85" t="s">
        <v>19</v>
      </c>
      <c r="AF8" s="82" t="s">
        <v>20</v>
      </c>
    </row>
    <row r="9" spans="1:33" s="8" customFormat="1" ht="60" customHeight="1" x14ac:dyDescent="0.3">
      <c r="A9" s="20"/>
      <c r="B9" s="40">
        <f>IF(DAY(JanSun1)=1,IF(AND(YEAR(JanSun1+8)=CalendarYear,MONTH(JanSun1+8)=1),JanSun1+8,""),IF(AND(YEAR(JanSun1+15)=CalendarYear,MONTH(JanSun1+15)=1),JanSun1+15,""))</f>
        <v>46033</v>
      </c>
      <c r="C9" s="46">
        <v>12</v>
      </c>
      <c r="D9" s="113" t="s">
        <v>21</v>
      </c>
      <c r="E9" s="114"/>
      <c r="F9" s="84" t="s">
        <v>22</v>
      </c>
      <c r="G9" s="65">
        <f>IF(DAY(JanSun1)=1,IF(AND(YEAR(JanSun1+13)=CalendarYear,MONTH(JanSun1+13)=1),JanSun1+13,""),IF(AND(YEAR(JanSun1+20)=CalendarYear,MONTH(JanSun1+20)=1),JanSun1+20,""))</f>
        <v>46038</v>
      </c>
      <c r="H9" s="65">
        <f>IF(DAY(JanSun1)=1,IF(AND(YEAR(JanSun1+14)=CalendarYear,MONTH(JanSun1+14)=1),JanSun1+14,""),IF(AND(YEAR(JanSun1+21)=CalendarYear,MONTH(JanSun1+21)=1),JanSun1+21,""))</f>
        <v>46039</v>
      </c>
      <c r="I9" s="20"/>
      <c r="J9" s="40">
        <f>IF(DAY(FebSun1)=1,IF(AND(YEAR(FebSun1+8)=CalendarYear,MONTH(FebSun1+8)=2),FebSun1+8,""),IF(AND(YEAR(FebSun1+15)=CalendarYear,MONTH(FebSun1+15)=2),FebSun1+15,""))</f>
        <v>46068</v>
      </c>
      <c r="K9" s="52">
        <f>IF(DAY(FebSun1)=1,IF(AND(YEAR(FebSun1+9)=CalendarYear,MONTH(FebSun1+9)=2),FebSun1+9,""),IF(AND(YEAR(FebSun1+16)=CalendarYear,MONTH(FebSun1+16)=2),FebSun1+16,""))</f>
        <v>46069</v>
      </c>
      <c r="L9" s="53">
        <f>IF(DAY(FebSun1)=1,IF(AND(YEAR(FebSun1+10)=CalendarYear,MONTH(FebSun1+10)=2),FebSun1+10,""),IF(AND(YEAR(FebSun1+17)=CalendarYear,MONTH(FebSun1+17)=2),FebSun1+17,""))</f>
        <v>46070</v>
      </c>
      <c r="M9" s="101" t="s">
        <v>23</v>
      </c>
      <c r="N9" s="102"/>
      <c r="O9" s="54">
        <f>IF(DAY(FebSun1)=1,IF(AND(YEAR(FebSun1+13)=CalendarYear,MONTH(FebSun1+13)=2),FebSun1+13,""),IF(AND(YEAR(FebSun1+20)=CalendarYear,MONTH(FebSun1+20)=2),FebSun1+20,""))</f>
        <v>46073</v>
      </c>
      <c r="P9" s="40">
        <f>IF(DAY(FebSun1)=1,IF(AND(YEAR(FebSun1+14)=CalendarYear,MONTH(FebSun1+14)=2),FebSun1+14,""),IF(AND(YEAR(FebSun1+21)=CalendarYear,MONTH(FebSun1+21)=2),FebSun1+21,""))</f>
        <v>46074</v>
      </c>
      <c r="Q9" s="20"/>
      <c r="R9" s="40">
        <f>IF(DAY(MarSun1)=1,IF(AND(YEAR(MarSun1+8)=CalendarYear,MONTH(MarSun1+8)=3),MarSun1+8,""),IF(AND(YEAR(MarSun1+15)=CalendarYear,MONTH(MarSun1+15)=3),MarSun1+15,""))</f>
        <v>46096</v>
      </c>
      <c r="S9" s="40">
        <f>IF(DAY(MarSun1)=1,IF(AND(YEAR(MarSun1+9)=CalendarYear,MONTH(MarSun1+9)=3),MarSun1+9,""),IF(AND(YEAR(MarSun1+16)=CalendarYear,MONTH(MarSun1+16)=3),MarSun1+16,""))</f>
        <v>46097</v>
      </c>
      <c r="T9" s="41">
        <f>IF(DAY(MarSun1)=1,IF(AND(YEAR(MarSun1+10)=CalendarYear,MONTH(MarSun1+10)=3),MarSun1+10,""),IF(AND(YEAR(MarSun1+17)=CalendarYear,MONTH(MarSun1+17)=3),MarSun1+17,""))</f>
        <v>46098</v>
      </c>
      <c r="U9" s="41">
        <f>IF(DAY(MarSun1)=1,IF(AND(YEAR(MarSun1+11)=CalendarYear,MONTH(MarSun1+11)=3),MarSun1+11,""),IF(AND(YEAR(MarSun1+18)=CalendarYear,MONTH(MarSun1+18)=3),MarSun1+18,""))</f>
        <v>46099</v>
      </c>
      <c r="V9" s="44">
        <f>IF(DAY(MarSun1)=1,IF(AND(YEAR(MarSun1+12)=CalendarYear,MONTH(MarSun1+12)=3),MarSun1+12,""),IF(AND(YEAR(MarSun1+19)=CalendarYear,MONTH(MarSun1+19)=3),MarSun1+19,""))</f>
        <v>46100</v>
      </c>
      <c r="W9" s="38">
        <f>IF(DAY(MarSun1)=1,IF(AND(YEAR(MarSun1+13)=CalendarYear,MONTH(MarSun1+13)=3),MarSun1+13,""),IF(AND(YEAR(MarSun1+20)=CalendarYear,MONTH(MarSun1+20)=3),MarSun1+20,""))</f>
        <v>46101</v>
      </c>
      <c r="X9" s="40">
        <f>IF(DAY(MarSun1)=1,IF(AND(YEAR(MarSun1+14)=CalendarYear,MONTH(MarSun1+14)=3),MarSun1+14,""),IF(AND(YEAR(MarSun1+21)=CalendarYear,MONTH(MarSun1+21)=3),MarSun1+21,""))</f>
        <v>46102</v>
      </c>
      <c r="Y9" s="20"/>
      <c r="Z9" s="40">
        <f>IF(DAY(AprSun1)=1,IF(AND(YEAR(AprSun1+8)=CalendarYear,MONTH(AprSun1+8)=4),AprSun1+8,""),IF(AND(YEAR(AprSun1+15)=CalendarYear,MONTH(AprSun1+15)=4),AprSun1+15,""))</f>
        <v>46124</v>
      </c>
      <c r="AA9" s="125" t="s">
        <v>24</v>
      </c>
      <c r="AB9" s="126"/>
      <c r="AC9" s="126"/>
      <c r="AD9" s="126"/>
      <c r="AE9" s="127"/>
      <c r="AF9" s="52">
        <f>IF(DAY(AprSun1)=1,IF(AND(YEAR(AprSun1+14)=CalendarYear,MONTH(AprSun1+14)=4),AprSun1+14,""),IF(AND(YEAR(AprSun1+21)=CalendarYear,MONTH(AprSun1+21)=4),AprSun1+21,""))</f>
        <v>46130</v>
      </c>
    </row>
    <row r="10" spans="1:33" s="8" customFormat="1" ht="60" customHeight="1" x14ac:dyDescent="0.3">
      <c r="A10" s="20"/>
      <c r="B10" s="39">
        <f>IF(DAY(JanSun1)=1,IF(AND(YEAR(JanSun1+15)=CalendarYear,MONTH(JanSun1+15)=1),JanSun1+15,""),IF(AND(YEAR(JanSun1+22)=CalendarYear,MONTH(JanSun1+22)=1),JanSun1+22,""))</f>
        <v>46040</v>
      </c>
      <c r="C10" s="39">
        <f>IF(DAY(JanSun1)=1,IF(AND(YEAR(JanSun1+16)=CalendarYear,MONTH(JanSun1+16)=1),JanSun1+16,""),IF(AND(YEAR(JanSun1+23)=CalendarYear,MONTH(JanSun1+23)=1),JanSun1+23,""))</f>
        <v>46041</v>
      </c>
      <c r="D10" s="47">
        <f>IF(DAY(JanSun1)=1,IF(AND(YEAR(JanSun1+17)=CalendarYear,MONTH(JanSun1+17)=1),JanSun1+17,""),IF(AND(YEAR(JanSun1+24)=CalendarYear,MONTH(JanSun1+24)=1),JanSun1+24,""))</f>
        <v>46042</v>
      </c>
      <c r="E10" s="71">
        <f>IF(DAY(JanSun1)=1,IF(AND(YEAR(JanSun1+18)=CalendarYear,MONTH(JanSun1+18)=1),JanSun1+18,""),IF(AND(YEAR(JanSun1+25)=CalendarYear,MONTH(JanSun1+25)=1),JanSun1+25,""))</f>
        <v>46043</v>
      </c>
      <c r="F10" s="64">
        <f>IF(DAY(JanSun1)=1,IF(AND(YEAR(JanSun1+19)=CalendarYear,MONTH(JanSun1+19)=1),JanSun1+19,""),IF(AND(YEAR(JanSun1+26)=CalendarYear,MONTH(JanSun1+26)=1),JanSun1+26,""))</f>
        <v>46044</v>
      </c>
      <c r="G10" s="67">
        <f>IF(DAY(JanSun1)=1,IF(AND(YEAR(JanSun1+20)=CalendarYear,MONTH(JanSun1+20)=1),JanSun1+20,""),IF(AND(YEAR(JanSun1+27)=CalendarYear,MONTH(JanSun1+27)=1),JanSun1+27,""))</f>
        <v>46045</v>
      </c>
      <c r="H10" s="40">
        <f>IF(DAY(JanSun1)=1,IF(AND(YEAR(JanSun1+21)=CalendarYear,MONTH(JanSun1+21)=1),JanSun1+21,""),IF(AND(YEAR(JanSun1+28)=CalendarYear,MONTH(JanSun1+28)=1),JanSun1+28,""))</f>
        <v>46046</v>
      </c>
      <c r="I10" s="20"/>
      <c r="J10" s="39">
        <f>IF(DAY(FebSun1)=1,IF(AND(YEAR(FebSun1+15)=CalendarYear,MONTH(FebSun1+15)=2),FebSun1+15,""),IF(AND(YEAR(FebSun1+22)=CalendarYear,MONTH(FebSun1+22)=2),FebSun1+22,""))</f>
        <v>46075</v>
      </c>
      <c r="K10" s="46">
        <v>23</v>
      </c>
      <c r="L10" s="46">
        <v>24</v>
      </c>
      <c r="M10" s="46">
        <v>25</v>
      </c>
      <c r="N10" s="46">
        <v>26</v>
      </c>
      <c r="O10" s="46">
        <v>27</v>
      </c>
      <c r="P10" s="46">
        <v>28</v>
      </c>
      <c r="Q10" s="20"/>
      <c r="R10" s="39">
        <f>IF(DAY(MarSun1)=1,IF(AND(YEAR(MarSun1+15)=CalendarYear,MONTH(MarSun1+15)=3),MarSun1+15,""),IF(AND(YEAR(MarSun1+22)=CalendarYear,MONTH(MarSun1+22)=3),MarSun1+22,""))</f>
        <v>46103</v>
      </c>
      <c r="S10" s="39">
        <v>17</v>
      </c>
      <c r="T10" s="103" t="s">
        <v>25</v>
      </c>
      <c r="U10" s="104"/>
      <c r="V10" s="39">
        <v>20</v>
      </c>
      <c r="W10" s="39">
        <v>21</v>
      </c>
      <c r="X10" s="40">
        <f>IF(DAY(MarSun1)=1,IF(AND(YEAR(MarSun1+21)=CalendarYear,MONTH(MarSun1+21)=3),MarSun1+21,""),IF(AND(YEAR(MarSun1+28)=CalendarYear,MONTH(MarSun1+28)=3),MarSun1+28,""))</f>
        <v>46109</v>
      </c>
      <c r="Y10" s="20"/>
      <c r="Z10" s="39">
        <f>IF(DAY(AprSun1)=1,IF(AND(YEAR(AprSun1+15)=CalendarYear,MONTH(AprSun1+15)=4),AprSun1+15,""),IF(AND(YEAR(AprSun1+22)=CalendarYear,MONTH(AprSun1+22)=4),AprSun1+22,""))</f>
        <v>46131</v>
      </c>
      <c r="AA10" s="39">
        <f>IF(DAY(AprSun1)=1,IF(AND(YEAR(AprSun1+16)=CalendarYear,MONTH(AprSun1+16)=4),AprSun1+16,""),IF(AND(YEAR(AprSun1+23)=CalendarYear,MONTH(AprSun1+23)=4),AprSun1+23,""))</f>
        <v>46132</v>
      </c>
      <c r="AB10" s="107" t="s">
        <v>26</v>
      </c>
      <c r="AC10" s="107"/>
      <c r="AD10" s="107"/>
      <c r="AE10" s="40">
        <f>IF(DAY(AprSun1)=1,IF(AND(YEAR(AprSun1+20)=CalendarYear,MONTH(AprSun1+20)=4),AprSun1+20,""),IF(AND(YEAR(AprSun1+27)=CalendarYear,MONTH(AprSun1+27)=4),AprSun1+27,""))</f>
        <v>46136</v>
      </c>
      <c r="AF10" s="40">
        <f>IF(DAY(AprSun1)=1,IF(AND(YEAR(AprSun1+21)=CalendarYear,MONTH(AprSun1+21)=4),AprSun1+21,""),IF(AND(YEAR(AprSun1+28)=CalendarYear,MONTH(AprSun1+28)=4),AprSun1+28,""))</f>
        <v>46137</v>
      </c>
    </row>
    <row r="11" spans="1:33" s="8" customFormat="1" ht="60" customHeight="1" x14ac:dyDescent="0.3">
      <c r="A11" s="20"/>
      <c r="B11" s="41">
        <f>IF(DAY(JanSun1)=1,IF(AND(YEAR(JanSun1+22)=CalendarYear,MONTH(JanSun1+22)=1),JanSun1+22,""),IF(AND(YEAR(JanSun1+29)=CalendarYear,MONTH(JanSun1+29)=1),JanSun1+29,""))</f>
        <v>46047</v>
      </c>
      <c r="C11" s="41">
        <f>IF(DAY(JanSun1)=1,IF(AND(YEAR(JanSun1+23)=CalendarYear,MONTH(JanSun1+23)=1),JanSun1+23,""),IF(AND(YEAR(JanSun1+30)=CalendarYear,MONTH(JanSun1+30)=1),JanSun1+30,""))</f>
        <v>46048</v>
      </c>
      <c r="D11" s="43">
        <f>IF(DAY(JanSun1)=1,IF(AND(YEAR(JanSun1+24)=CalendarYear,MONTH(JanSun1+24)=1),JanSun1+24,""),IF(AND(YEAR(JanSun1+31)=CalendarYear,MONTH(JanSun1+31)=1),JanSun1+31,""))</f>
        <v>46049</v>
      </c>
      <c r="E11" s="43">
        <f>IF(DAY(JanSun1)=1,IF(AND(YEAR(JanSun1+25)=CalendarYear,MONTH(JanSun1+25)=1),JanSun1+25,""),IF(AND(YEAR(JanSun1+32)=CalendarYear,MONTH(JanSun1+32)=1),JanSun1+32,""))</f>
        <v>46050</v>
      </c>
      <c r="F11" s="66">
        <f>IF(DAY(JanSun1)=1,IF(AND(YEAR(JanSun1+26)=CalendarYear,MONTH(JanSun1+26)=1),JanSun1+26,""),IF(AND(YEAR(JanSun1+33)=CalendarYear,MONTH(JanSun1+33)=1),JanSun1+33,""))</f>
        <v>46051</v>
      </c>
      <c r="G11" s="37">
        <f>IF(DAY(JanSun1)=1,IF(AND(YEAR(JanSun1+27)=CalendarYear,MONTH(JanSun1+27)=1),JanSun1+27,""),IF(AND(YEAR(JanSun1+34)=CalendarYear,MONTH(JanSun1+34)=1),JanSun1+34,""))</f>
        <v>46052</v>
      </c>
      <c r="H11" s="37">
        <f>IF(DAY(JanSun1)=1,IF(AND(YEAR(JanSun1+28)=CalendarYear,MONTH(JanSun1+28)=1),JanSun1+28,""),IF(AND(YEAR(JanSun1+35)=CalendarYear,MONTH(JanSun1+35)=1),JanSun1+35,""))</f>
        <v>46053</v>
      </c>
      <c r="I11" s="20"/>
      <c r="J11" s="41" t="str">
        <f>IF(DAY(FebSun1)=1,IF(AND(YEAR(FebSun1+22)=CalendarYear,MONTH(FebSun1+22)=2),FebSun1+22,""),IF(AND(YEAR(FebSun1+29)=CalendarYear,MONTH(FebSun1+29)=2),FebSun1+29,""))</f>
        <v/>
      </c>
      <c r="K11" s="41" t="str">
        <f>IF(DAY(FebSun1)=1,IF(AND(YEAR(FebSun1+23)=CalendarYear,MONTH(FebSun1+23)=2),FebSun1+23,""),IF(AND(YEAR(FebSun1+30)=CalendarYear,MONTH(FebSun1+30)=2),FebSun1+30,""))</f>
        <v/>
      </c>
      <c r="L11" s="43" t="str">
        <f>IF(DAY(FebSun1)=1,IF(AND(YEAR(FebSun1+24)=CalendarYear,MONTH(FebSun1+24)=2),FebSun1+24,""),IF(AND(YEAR(FebSun1+31)=CalendarYear,MONTH(FebSun1+31)=2),FebSun1+31,""))</f>
        <v/>
      </c>
      <c r="M11" s="43" t="str">
        <f>IF(DAY(FebSun1)=1,IF(AND(YEAR(FebSun1+25)=CalendarYear,MONTH(FebSun1+25)=2),FebSun1+25,""),IF(AND(YEAR(FebSun1+32)=CalendarYear,MONTH(FebSun1+32)=2),FebSun1+32,""))</f>
        <v/>
      </c>
      <c r="N11" s="45"/>
      <c r="O11" s="37" t="str">
        <f>IF(DAY(FebSun1)=1,IF(AND(YEAR(FebSun1+27)=CalendarYear,MONTH(FebSun1+27)=2),FebSun1+27,""),IF(AND(YEAR(FebSun1+34)=CalendarYear,MONTH(FebSun1+34)=2),FebSun1+34,""))</f>
        <v/>
      </c>
      <c r="P11" s="37" t="str">
        <f>IF(DAY(FebSun1)=1,IF(AND(YEAR(FebSun1+28)=CalendarYear,MONTH(FebSun1+28)=2),FebSun1+28,""),IF(AND(YEAR(FebSun1+35)=CalendarYear,MONTH(FebSun1+35)=2),FebSun1+35,""))</f>
        <v/>
      </c>
      <c r="Q11" s="20"/>
      <c r="R11" s="41">
        <f>IF(DAY(MarSun1)=1,IF(AND(YEAR(MarSun1+22)=CalendarYear,MONTH(MarSun1+22)=3),MarSun1+22,""),IF(AND(YEAR(MarSun1+29)=CalendarYear,MONTH(MarSun1+29)=3),MarSun1+29,""))</f>
        <v>46110</v>
      </c>
      <c r="S11" s="41">
        <f>IF(DAY(MarSun1)=1,IF(AND(YEAR(MarSun1+23)=CalendarYear,MONTH(MarSun1+23)=3),MarSun1+23,""),IF(AND(YEAR(MarSun1+30)=CalendarYear,MONTH(MarSun1+30)=3),MarSun1+30,""))</f>
        <v>46111</v>
      </c>
      <c r="T11" s="41">
        <v>31</v>
      </c>
      <c r="U11" s="41"/>
      <c r="V11" s="43"/>
      <c r="W11" s="37" t="str">
        <f>IF(DAY(MarSun1)=1,IF(AND(YEAR(MarSun1+27)=CalendarYear,MONTH(MarSun1+27)=3),MarSun1+27,""),IF(AND(YEAR(MarSun1+34)=CalendarYear,MONTH(MarSun1+34)=3),MarSun1+34,""))</f>
        <v/>
      </c>
      <c r="X11" s="37" t="str">
        <f>IF(DAY(MarSun1)=1,IF(AND(YEAR(MarSun1+28)=CalendarYear,MONTH(MarSun1+28)=3),MarSun1+28,""),IF(AND(YEAR(MarSun1+35)=CalendarYear,MONTH(MarSun1+35)=3),MarSun1+35,""))</f>
        <v/>
      </c>
      <c r="Y11" s="20"/>
      <c r="Z11" s="41">
        <f>IF(DAY(AprSun1)=1,IF(AND(YEAR(AprSun1+22)=CalendarYear,MONTH(AprSun1+22)=4),AprSun1+22,""),IF(AND(YEAR(AprSun1+29)=CalendarYear,MONTH(AprSun1+29)=4),AprSun1+29,""))</f>
        <v>46138</v>
      </c>
      <c r="AA11" s="41">
        <v>27</v>
      </c>
      <c r="AB11" s="41">
        <v>28</v>
      </c>
      <c r="AC11" s="41">
        <v>29</v>
      </c>
      <c r="AD11" s="41">
        <v>30</v>
      </c>
      <c r="AE11" s="43" t="str">
        <f>IF(DAY(AprSun1)=1,IF(AND(YEAR(AprSun1+33)=CalendarYear,MONTH(AprSun1+33)=4),AprSun1+33,""),IF(AND(YEAR(AprSun1+40)=CalendarYear,MONTH(AprSun1+40)=4),AprSun1+40,""))</f>
        <v/>
      </c>
      <c r="AF11" s="37" t="str">
        <f>IF(DAY(AprSun1)=1,IF(AND(YEAR(AprSun1+28)=CalendarYear,MONTH(AprSun1+28)=4),AprSun1+28,""),IF(AND(YEAR(AprSun1+35)=CalendarYear,MONTH(AprSun1+35)=4),AprSun1+35,""))</f>
        <v/>
      </c>
    </row>
    <row r="12" spans="1:33" s="8" customFormat="1" ht="60" customHeight="1" x14ac:dyDescent="0.3">
      <c r="A12" s="20"/>
      <c r="B12" s="41" t="str">
        <f>IF(DAY(JanSun1)=1,IF(AND(YEAR(JanSun1+29)=CalendarYear,MONTH(JanSun1+29)=1),JanSun1+29,""),IF(AND(YEAR(JanSun1+36)=CalendarYear,MONTH(JanSun1+36)=1),JanSun1+36,""))</f>
        <v/>
      </c>
      <c r="C12" s="41" t="str">
        <f>IF(DAY(JanSun1)=1,IF(AND(YEAR(JanSun1+30)=CalendarYear,MONTH(JanSun1+30)=1),JanSun1+30,""),IF(AND(YEAR(JanSun1+37)=CalendarYear,MONTH(JanSun1+37)=1),JanSun1+37,""))</f>
        <v/>
      </c>
      <c r="D12" s="43" t="str">
        <f>IF(DAY(JanSun1)=1,IF(AND(YEAR(JanSun1+31)=CalendarYear,MONTH(JanSun1+31)=1),JanSun1+31,""),IF(AND(YEAR(JanSun1+38)=CalendarYear,MONTH(JanSun1+38)=1),JanSun1+38,""))</f>
        <v/>
      </c>
      <c r="E12" s="43" t="str">
        <f>IF(DAY(JanSun1)=1,IF(AND(YEAR(JanSun1+32)=CalendarYear,MONTH(JanSun1+32)=1),JanSun1+32,""),IF(AND(YEAR(JanSun1+39)=CalendarYear,MONTH(JanSun1+39)=1),JanSun1+39,""))</f>
        <v/>
      </c>
      <c r="F12" s="43" t="str">
        <f>IF(DAY(JanSun1)=1,IF(AND(YEAR(JanSun1+33)=CalendarYear,MONTH(JanSun1+33)=1),JanSun1+33,""),IF(AND(YEAR(JanSun1+40)=CalendarYear,MONTH(JanSun1+40)=1),JanSun1+40,""))</f>
        <v/>
      </c>
      <c r="G12" s="37" t="str">
        <f>IF(DAY(JanSun1)=1,IF(AND(YEAR(JanSun1+34)=CalendarYear,MONTH(JanSun1+34)=1),JanSun1+34,""),IF(AND(YEAR(JanSun1+41)=CalendarYear,MONTH(JanSun1+41)=1),JanSun1+41,""))</f>
        <v/>
      </c>
      <c r="H12" s="37" t="str">
        <f>IF(DAY(JanSun1)=1,IF(AND(YEAR(JanSun1+35)=CalendarYear,MONTH(JanSun1+35)=1),JanSun1+35,""),IF(AND(YEAR(JanSun1+42)=CalendarYear,MONTH(JanSun1+42)=1),JanSun1+42,""))</f>
        <v/>
      </c>
      <c r="I12" s="20"/>
      <c r="J12" s="41" t="str">
        <f>IF(DAY(FebSun1)=1,IF(AND(YEAR(FebSun1+29)=CalendarYear,MONTH(FebSun1+29)=2),FebSun1+29,""),IF(AND(YEAR(FebSun1+36)=CalendarYear,MONTH(FebSun1+36)=2),FebSun1+36,""))</f>
        <v/>
      </c>
      <c r="K12" s="41" t="str">
        <f>IF(DAY(FebSun1)=1,IF(AND(YEAR(FebSun1+30)=CalendarYear,MONTH(FebSun1+30)=2),FebSun1+30,""),IF(AND(YEAR(FebSun1+37)=CalendarYear,MONTH(FebSun1+37)=2),FebSun1+37,""))</f>
        <v/>
      </c>
      <c r="L12" s="43" t="str">
        <f>IF(DAY(FebSun1)=1,IF(AND(YEAR(FebSun1+31)=CalendarYear,MONTH(FebSun1+31)=2),FebSun1+31,""),IF(AND(YEAR(FebSun1+38)=CalendarYear,MONTH(FebSun1+38)=2),FebSun1+38,""))</f>
        <v/>
      </c>
      <c r="M12" s="43" t="str">
        <f>IF(DAY(FebSun1)=1,IF(AND(YEAR(FebSun1+32)=CalendarYear,MONTH(FebSun1+32)=2),FebSun1+32,""),IF(AND(YEAR(FebSun1+39)=CalendarYear,MONTH(FebSun1+39)=2),FebSun1+39,""))</f>
        <v/>
      </c>
      <c r="N12" s="43" t="str">
        <f>IF(DAY(FebSun1)=1,IF(AND(YEAR(FebSun1+33)=CalendarYear,MONTH(FebSun1+33)=2),FebSun1+33,""),IF(AND(YEAR(FebSun1+40)=CalendarYear,MONTH(FebSun1+40)=2),FebSun1+40,""))</f>
        <v/>
      </c>
      <c r="O12" s="37" t="str">
        <f>IF(DAY(FebSun1)=1,IF(AND(YEAR(FebSun1+34)=CalendarYear,MONTH(FebSun1+34)=2),FebSun1+34,""),IF(AND(YEAR(FebSun1+41)=CalendarYear,MONTH(FebSun1+41)=2),FebSun1+41,""))</f>
        <v/>
      </c>
      <c r="P12" s="37" t="str">
        <f>IF(DAY(FebSun1)=1,IF(AND(YEAR(FebSun1+35)=CalendarYear,MONTH(FebSun1+35)=2),FebSun1+35,""),IF(AND(YEAR(FebSun1+42)=CalendarYear,MONTH(FebSun1+42)=2),FebSun1+42,""))</f>
        <v/>
      </c>
      <c r="Q12" s="20"/>
      <c r="R12" s="41" t="str">
        <f>IF(DAY(MarSun1)=1,IF(AND(YEAR(MarSun1+29)=CalendarYear,MONTH(MarSun1+29)=3),MarSun1+29,""),IF(AND(YEAR(MarSun1+36)=CalendarYear,MONTH(MarSun1+36)=3),MarSun1+36,""))</f>
        <v/>
      </c>
      <c r="S12" s="41" t="str">
        <f>IF(DAY(MarSun1)=1,IF(AND(YEAR(MarSun1+30)=CalendarYear,MONTH(MarSun1+30)=3),MarSun1+30,""),IF(AND(YEAR(MarSun1+37)=CalendarYear,MONTH(MarSun1+37)=3),MarSun1+37,""))</f>
        <v/>
      </c>
      <c r="T12" s="43" t="str">
        <f>IF(DAY(MarSun1)=1,IF(AND(YEAR(MarSun1+31)=CalendarYear,MONTH(MarSun1+31)=3),MarSun1+31,""),IF(AND(YEAR(MarSun1+38)=CalendarYear,MONTH(MarSun1+38)=3),MarSun1+38,""))</f>
        <v/>
      </c>
      <c r="U12" s="43" t="str">
        <f>IF(DAY(MarSun1)=1,IF(AND(YEAR(MarSun1+32)=CalendarYear,MONTH(MarSun1+32)=3),MarSun1+32,""),IF(AND(YEAR(MarSun1+39)=CalendarYear,MONTH(MarSun1+39)=3),MarSun1+39,""))</f>
        <v/>
      </c>
      <c r="V12" s="43" t="str">
        <f>IF(DAY(MarSun1)=1,IF(AND(YEAR(MarSun1+33)=CalendarYear,MONTH(MarSun1+33)=3),MarSun1+33,""),IF(AND(YEAR(MarSun1+40)=CalendarYear,MONTH(MarSun1+40)=3),MarSun1+40,""))</f>
        <v/>
      </c>
      <c r="W12" s="37" t="str">
        <f>IF(DAY(MarSun1)=1,IF(AND(YEAR(MarSun1+34)=CalendarYear,MONTH(MarSun1+34)=3),MarSun1+34,""),IF(AND(YEAR(MarSun1+41)=CalendarYear,MONTH(MarSun1+41)=3),MarSun1+41,""))</f>
        <v/>
      </c>
      <c r="X12" s="37" t="str">
        <f>IF(DAY(MarSun1)=1,IF(AND(YEAR(MarSun1+35)=CalendarYear,MONTH(MarSun1+35)=3),MarSun1+35,""),IF(AND(YEAR(MarSun1+42)=CalendarYear,MONTH(MarSun1+42)=3),MarSun1+42,""))</f>
        <v/>
      </c>
      <c r="Y12" s="20"/>
      <c r="Z12" s="41" t="str">
        <f>IF(DAY(AprSun1)=1,IF(AND(YEAR(AprSun1+29)=CalendarYear,MONTH(AprSun1+29)=4),AprSun1+29,""),IF(AND(YEAR(AprSun1+36)=CalendarYear,MONTH(AprSun1+36)=4),AprSun1+36,""))</f>
        <v/>
      </c>
      <c r="AA12" s="41" t="str">
        <f>IF(DAY(AprSun1)=1,IF(AND(YEAR(AprSun1+30)=CalendarYear,MONTH(AprSun1+30)=4),AprSun1+30,""),IF(AND(YEAR(AprSun1+37)=CalendarYear,MONTH(AprSun1+37)=4),AprSun1+37,""))</f>
        <v/>
      </c>
      <c r="AB12" s="43" t="str">
        <f>IF(DAY(AprSun1)=1,IF(AND(YEAR(AprSun1+31)=CalendarYear,MONTH(AprSun1+31)=4),AprSun1+31,""),IF(AND(YEAR(AprSun1+38)=CalendarYear,MONTH(AprSun1+38)=4),AprSun1+38,""))</f>
        <v/>
      </c>
      <c r="AC12" s="43" t="str">
        <f>IF(DAY(AprSun1)=1,IF(AND(YEAR(AprSun1+32)=CalendarYear,MONTH(AprSun1+32)=4),AprSun1+32,""),IF(AND(YEAR(AprSun1+39)=CalendarYear,MONTH(AprSun1+39)=4),AprSun1+39,""))</f>
        <v/>
      </c>
      <c r="AD12" s="43" t="str">
        <f>IF(DAY(AprSun1)=1,IF(AND(YEAR(AprSun1+33)=CalendarYear,MONTH(AprSun1+33)=4),AprSun1+33,""),IF(AND(YEAR(AprSun1+40)=CalendarYear,MONTH(AprSun1+40)=4),AprSun1+40,""))</f>
        <v/>
      </c>
      <c r="AE12" s="37" t="str">
        <f>IF(DAY(AprSun1)=1,IF(AND(YEAR(AprSun1+34)=CalendarYear,MONTH(AprSun1+34)=4),AprSun1+34,""),IF(AND(YEAR(AprSun1+41)=CalendarYear,MONTH(AprSun1+41)=4),AprSun1+41,""))</f>
        <v/>
      </c>
      <c r="AF12" s="37" t="str">
        <f>IF(DAY(AprSun1)=1,IF(AND(YEAR(AprSun1+35)=CalendarYear,MONTH(AprSun1+35)=4),AprSun1+35,""),IF(AND(YEAR(AprSun1+42)=CalendarYear,MONTH(AprSun1+42)=4),AprSun1+42,""))</f>
        <v/>
      </c>
    </row>
    <row r="13" spans="1:33" s="7" customFormat="1" ht="60" customHeight="1" x14ac:dyDescent="0.3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33" s="13" customFormat="1" ht="60" customHeight="1" x14ac:dyDescent="0.3">
      <c r="A14" s="22"/>
      <c r="B14" s="106" t="s">
        <v>27</v>
      </c>
      <c r="C14" s="106"/>
      <c r="D14" s="106"/>
      <c r="E14" s="106"/>
      <c r="F14" s="106"/>
      <c r="G14" s="106"/>
      <c r="H14" s="106"/>
      <c r="I14" s="28"/>
      <c r="J14" s="106" t="s">
        <v>28</v>
      </c>
      <c r="K14" s="106"/>
      <c r="L14" s="106"/>
      <c r="M14" s="106"/>
      <c r="N14" s="106"/>
      <c r="O14" s="106"/>
      <c r="P14" s="106"/>
      <c r="Q14" s="28"/>
      <c r="R14" s="106" t="s">
        <v>29</v>
      </c>
      <c r="S14" s="106"/>
      <c r="T14" s="106"/>
      <c r="U14" s="106"/>
      <c r="V14" s="106"/>
      <c r="W14" s="106"/>
      <c r="X14" s="106"/>
      <c r="Y14" s="28"/>
      <c r="Z14" s="106" t="s">
        <v>30</v>
      </c>
      <c r="AA14" s="106"/>
      <c r="AB14" s="106"/>
      <c r="AC14" s="106"/>
      <c r="AD14" s="106"/>
      <c r="AE14" s="106"/>
      <c r="AF14" s="106"/>
    </row>
    <row r="15" spans="1:33" s="6" customFormat="1" ht="60" customHeight="1" x14ac:dyDescent="0.25">
      <c r="A15" s="23"/>
      <c r="B15" s="34" t="s">
        <v>8</v>
      </c>
      <c r="C15" s="35" t="s">
        <v>9</v>
      </c>
      <c r="D15" s="35" t="s">
        <v>10</v>
      </c>
      <c r="E15" s="35" t="s">
        <v>11</v>
      </c>
      <c r="F15" s="35" t="s">
        <v>12</v>
      </c>
      <c r="G15" s="35" t="s">
        <v>13</v>
      </c>
      <c r="H15" s="36" t="s">
        <v>14</v>
      </c>
      <c r="I15" s="24"/>
      <c r="J15" s="34" t="s">
        <v>8</v>
      </c>
      <c r="K15" s="35" t="s">
        <v>9</v>
      </c>
      <c r="L15" s="35" t="s">
        <v>10</v>
      </c>
      <c r="M15" s="35" t="s">
        <v>11</v>
      </c>
      <c r="N15" s="35" t="s">
        <v>12</v>
      </c>
      <c r="O15" s="35" t="s">
        <v>13</v>
      </c>
      <c r="P15" s="36" t="s">
        <v>14</v>
      </c>
      <c r="Q15" s="24"/>
      <c r="R15" s="34" t="s">
        <v>8</v>
      </c>
      <c r="S15" s="35" t="s">
        <v>9</v>
      </c>
      <c r="T15" s="35" t="s">
        <v>10</v>
      </c>
      <c r="U15" s="35" t="s">
        <v>11</v>
      </c>
      <c r="V15" s="35" t="s">
        <v>12</v>
      </c>
      <c r="W15" s="35" t="s">
        <v>13</v>
      </c>
      <c r="X15" s="36" t="s">
        <v>14</v>
      </c>
      <c r="Y15" s="24"/>
      <c r="Z15" s="34" t="s">
        <v>8</v>
      </c>
      <c r="AA15" s="35" t="s">
        <v>9</v>
      </c>
      <c r="AB15" s="35" t="s">
        <v>10</v>
      </c>
      <c r="AC15" s="35" t="s">
        <v>11</v>
      </c>
      <c r="AD15" s="35" t="s">
        <v>12</v>
      </c>
      <c r="AE15" s="35" t="s">
        <v>13</v>
      </c>
      <c r="AF15" s="36" t="s">
        <v>14</v>
      </c>
    </row>
    <row r="16" spans="1:33" s="8" customFormat="1" ht="60" customHeight="1" x14ac:dyDescent="0.3">
      <c r="A16" s="20"/>
      <c r="B16" s="37" t="str">
        <f>IF(DAY(MaySun1)=1,"",IF(AND(YEAR(MaySun1+1)=CalendarYear,MONTH(MaySun1+1)=5),MaySun1+1,""))</f>
        <v/>
      </c>
      <c r="C16" s="37" t="str">
        <f>IF(DAY(MaySun1)=1,"",IF(AND(YEAR(MaySun1+2)=CalendarYear,MONTH(MaySun1+2)=5),MaySun1+2,""))</f>
        <v/>
      </c>
      <c r="D16" s="39" t="str">
        <f>IF(DAY(MaySun1)=1,"",IF(AND(YEAR(MaySun1+3)=CalendarYear,MONTH(MaySun1+3)=5),MaySun1+3,""))</f>
        <v/>
      </c>
      <c r="E16" s="39" t="str">
        <f>IF(DAY(MaySun1)=1,"",IF(AND(YEAR(MaySun1+4)=CalendarYear,MONTH(MaySun1+4)=5),MaySun1+4,""))</f>
        <v/>
      </c>
      <c r="F16"/>
      <c r="G16" s="46">
        <v>1</v>
      </c>
      <c r="H16" s="39">
        <f>IF(DAY(JulSun1)=1,"",IF(AND(YEAR(JulSun1+5)=CalendarYear,MONTH(JulSun1+5)=7),JulSun1+5,""))</f>
        <v>46205</v>
      </c>
      <c r="I16" s="20"/>
      <c r="J16" s="37" t="str">
        <f>IF(DAY(JunSun1)=1,"",IF(AND(YEAR(JunSun1+1)=CalendarYear,MONTH(JunSun1+1)=6),JunSun1+1,""))</f>
        <v/>
      </c>
      <c r="K16" s="37">
        <f>IF(DAY(JunSun1)=1,"",IF(AND(YEAR(JunSun1+2)=CalendarYear,MONTH(JunSun1+2)=6),JunSun1+2,""))</f>
        <v>46174</v>
      </c>
      <c r="L16" s="46">
        <v>2</v>
      </c>
      <c r="M16" s="46">
        <v>3</v>
      </c>
      <c r="N16" s="46">
        <v>4</v>
      </c>
      <c r="O16" s="46">
        <v>5</v>
      </c>
      <c r="P16" s="40">
        <f>IF(DAY(JunSun1)=1,IF(AND(YEAR(JunSun1)=CalendarYear,MONTH(JunSun1)=6),JunSun1,""),IF(AND(YEAR(JunSun1+7)=CalendarYear,MONTH(JunSun1+7)=6),JunSun1+7,""))</f>
        <v>46179</v>
      </c>
      <c r="Q16" s="20"/>
      <c r="R16" s="37" t="str">
        <f>IF(DAY(JulSun1)=1,"",IF(AND(YEAR(JulSun1+1)=CalendarYear,MONTH(JulSun1+1)=7),JulSun1+1,""))</f>
        <v/>
      </c>
      <c r="S16" s="37" t="str">
        <f>IF(DAY(JulSun1)=1,"",IF(AND(YEAR(JulSun1+2)=CalendarYear,MONTH(JulSun1+2)=7),JulSun1+2,""))</f>
        <v/>
      </c>
      <c r="T16" s="39" t="str">
        <f>IF(DAY(JulSun1)=1,"",IF(AND(YEAR(JulSun1+3)=CalendarYear,MONTH(JulSun1+3)=7),JulSun1+3,""))</f>
        <v/>
      </c>
      <c r="U16" s="39">
        <f>IF(DAY(JulSun1)=1,"",IF(AND(YEAR(JulSun1+4)=CalendarYear,MONTH(JulSun1+4)=7),JulSun1+4,""))</f>
        <v>46204</v>
      </c>
      <c r="V16" s="39">
        <f>IF(DAY(JulSun1)=1,"",IF(AND(YEAR(JulSun1+5)=CalendarYear,MONTH(JulSun1+5)=7),JulSun1+5,""))</f>
        <v>46205</v>
      </c>
      <c r="W16" s="40">
        <f>IF(DAY(JulSun1)=1,"",IF(AND(YEAR(JulSun1+6)=CalendarYear,MONTH(JulSun1+6)=7),JulSun1+6,""))</f>
        <v>46206</v>
      </c>
      <c r="X16" s="40">
        <f>IF(DAY(JulSun1)=1,IF(AND(YEAR(JulSun1)=CalendarYear,MONTH(JulSun1)=7),JulSun1,""),IF(AND(YEAR(JulSun1+7)=CalendarYear,MONTH(JulSun1+7)=7),JulSun1+7,""))</f>
        <v>46207</v>
      </c>
      <c r="Y16" s="20"/>
      <c r="Z16" s="37" t="str">
        <f>IF(DAY(AugSun1)=1,"",IF(AND(YEAR(AugSun1+1)=CalendarYear,MONTH(AugSun1+1)=8),AugSun1+1,""))</f>
        <v/>
      </c>
      <c r="AA16" s="37" t="str">
        <f>IF(DAY(AugSun1)=1,"",IF(AND(YEAR(AugSun1+2)=CalendarYear,MONTH(AugSun1+2)=8),AugSun1+2,""))</f>
        <v/>
      </c>
      <c r="AB16" s="39" t="str">
        <f>IF(DAY(AugSun1)=1,"",IF(AND(YEAR(AugSun1+3)=CalendarYear,MONTH(AugSun1+3)=8),AugSun1+3,""))</f>
        <v/>
      </c>
      <c r="AC16" s="39" t="str">
        <f>IF(DAY(AugSun1)=1,"",IF(AND(YEAR(AugSun1+4)=CalendarYear,MONTH(AugSun1+4)=8),AugSun1+4,""))</f>
        <v/>
      </c>
      <c r="AD16" s="39" t="str">
        <f>IF(DAY(AugSun1)=1,"",IF(AND(YEAR(AugSun1+5)=CalendarYear,MONTH(AugSun1+5)=8),AugSun1+5,""))</f>
        <v/>
      </c>
      <c r="AE16" s="40" t="str">
        <f>IF(DAY(AugSun1)=1,"",IF(AND(YEAR(AugSun1+6)=CalendarYear,MONTH(AugSun1+6)=8),AugSun1+6,""))</f>
        <v/>
      </c>
      <c r="AF16" s="40">
        <f>IF(DAY(AugSun1)=1,IF(AND(YEAR(AugSun1)=CalendarYear,MONTH(AugSun1)=8),AugSun1,""),IF(AND(YEAR(AugSun1+7)=CalendarYear,MONTH(AugSun1+7)=8),AugSun1+7,""))</f>
        <v>46235</v>
      </c>
    </row>
    <row r="17" spans="1:32" s="8" customFormat="1" ht="60" customHeight="1" x14ac:dyDescent="0.3">
      <c r="A17" s="20"/>
      <c r="B17" s="41">
        <f>IF(DAY(MaySun1)=1,IF(AND(YEAR(MaySun1+1)=CalendarYear,MONTH(MaySun1+1)=5),MaySun1+1,""),IF(AND(YEAR(MaySun1+8)=CalendarYear,MONTH(MaySun1+8)=5),MaySun1+8,""))</f>
        <v>46145</v>
      </c>
      <c r="C17" s="38">
        <f>IF(DAY(MaySun1)=1,IF(AND(YEAR(MaySun1+2)=CalendarYear,MONTH(MaySun1+2)=5),MaySun1+2,""),IF(AND(YEAR(MaySun1+9)=CalendarYear,MONTH(MaySun1+9)=5),MaySun1+9,""))</f>
        <v>46146</v>
      </c>
      <c r="D17" s="46">
        <v>5</v>
      </c>
      <c r="E17" s="46">
        <v>6</v>
      </c>
      <c r="F17" s="46">
        <v>7</v>
      </c>
      <c r="G17" s="39">
        <f>IF(DAY(MaySun1)=1,IF(AND(YEAR(MaySun1+6)=CalendarYear,MONTH(MaySun1+6)=5),MaySun1+6,""),IF(AND(YEAR(MaySun1+13)=CalendarYear,MONTH(MaySun1+13)=5),MaySun1+13,""))</f>
        <v>46150</v>
      </c>
      <c r="H17" s="39">
        <f>IF(DAY(MaySun1)=1,IF(AND(YEAR(MaySun1+7)=CalendarYear,MONTH(MaySun1+7)=5),MaySun1+7,""),IF(AND(YEAR(MaySun1+14)=CalendarYear,MONTH(MaySun1+14)=5),MaySun1+14,""))</f>
        <v>46151</v>
      </c>
      <c r="I17" s="20"/>
      <c r="J17" s="41">
        <f>IF(DAY(JunSun1)=1,IF(AND(YEAR(JunSun1+1)=CalendarYear,MONTH(JunSun1+1)=6),JunSun1+1,""),IF(AND(YEAR(JunSun1+8)=CalendarYear,MONTH(JunSun1+8)=6),JunSun1+8,""))</f>
        <v>46180</v>
      </c>
      <c r="K17" s="46">
        <v>8</v>
      </c>
      <c r="L17" s="46">
        <v>9</v>
      </c>
      <c r="M17" s="40">
        <f>IF(DAY(JunSun1)=1,IF(AND(YEAR(JunSun1+4)=CalendarYear,MONTH(JunSun1+4)=6),JunSun1+4,""),IF(AND(YEAR(JunSun1+11)=CalendarYear,MONTH(JunSun1+11)=6),JunSun1+11,""))</f>
        <v>46183</v>
      </c>
      <c r="N17" s="40">
        <f>IF(DAY(JunSun1)=1,IF(AND(YEAR(JunSun1+5)=CalendarYear,MONTH(JunSun1+5)=6),JunSun1+5,""),IF(AND(YEAR(JunSun1+12)=CalendarYear,MONTH(JunSun1+12)=6),JunSun1+12,""))</f>
        <v>46184</v>
      </c>
      <c r="O17" s="39">
        <f>IF(DAY(JunSun1)=1,IF(AND(YEAR(JunSun1+6)=CalendarYear,MONTH(JunSun1+6)=6),JunSun1+6,""),IF(AND(YEAR(JunSun1+13)=CalendarYear,MONTH(JunSun1+13)=6),JunSun1+13,""))</f>
        <v>46185</v>
      </c>
      <c r="P17" s="39">
        <f>IF(DAY(JunSun1)=1,IF(AND(YEAR(JunSun1+7)=CalendarYear,MONTH(JunSun1+7)=6),JunSun1+7,""),IF(AND(YEAR(JunSun1+14)=CalendarYear,MONTH(JunSun1+14)=6),JunSun1+14,""))</f>
        <v>46186</v>
      </c>
      <c r="Q17" s="20"/>
      <c r="R17" s="41">
        <f>IF(DAY(JulSun1)=1,IF(AND(YEAR(JulSun1+1)=CalendarYear,MONTH(JulSun1+1)=7),JulSun1+1,""),IF(AND(YEAR(JulSun1+8)=CalendarYear,MONTH(JulSun1+8)=7),JulSun1+8,""))</f>
        <v>46208</v>
      </c>
      <c r="S17" s="46">
        <v>6</v>
      </c>
      <c r="T17" s="46">
        <v>7</v>
      </c>
      <c r="U17" s="46">
        <v>8</v>
      </c>
      <c r="V17" s="46">
        <v>9</v>
      </c>
      <c r="W17" s="46">
        <v>10</v>
      </c>
      <c r="X17" s="38">
        <f>IF(DAY(JulSun1)=1,IF(AND(YEAR(JulSun1+7)=CalendarYear,MONTH(JulSun1+7)=7),JulSun1+7,""),IF(AND(YEAR(JulSun1+14)=CalendarYear,MONTH(JulSun1+14)=7),JulSun1+14,""))</f>
        <v>46214</v>
      </c>
      <c r="Y17" s="20"/>
      <c r="Z17" s="46">
        <v>2</v>
      </c>
      <c r="AA17" s="46">
        <v>3</v>
      </c>
      <c r="AB17" s="46">
        <v>4</v>
      </c>
      <c r="AC17" s="46">
        <v>5</v>
      </c>
      <c r="AD17" s="46">
        <v>6</v>
      </c>
      <c r="AE17" s="46">
        <v>7</v>
      </c>
      <c r="AF17" s="39">
        <f>IF(DAY(AugSun1)=1,IF(AND(YEAR(AugSun1+7)=CalendarYear,MONTH(AugSun1+7)=8),AugSun1+7,""),IF(AND(YEAR(AugSun1+14)=CalendarYear,MONTH(AugSun1+14)=8),AugSun1+14,""))</f>
        <v>46242</v>
      </c>
    </row>
    <row r="18" spans="1:32" s="8" customFormat="1" ht="60" customHeight="1" x14ac:dyDescent="0.3">
      <c r="A18" s="20"/>
      <c r="B18" s="74">
        <v>10</v>
      </c>
      <c r="C18" s="46">
        <v>11</v>
      </c>
      <c r="D18" s="46">
        <v>12</v>
      </c>
      <c r="E18" s="46">
        <v>13</v>
      </c>
      <c r="F18" s="46">
        <v>14</v>
      </c>
      <c r="G18" s="46">
        <v>15</v>
      </c>
      <c r="H18" s="40">
        <f>IF(DAY(MaySun1)=1,IF(AND(YEAR(MaySun1+14)=CalendarYear,MONTH(MaySun1+14)=5),MaySun1+14,""),IF(AND(YEAR(MaySun1+21)=CalendarYear,MONTH(MaySun1+21)=5),MaySun1+21,""))</f>
        <v>46158</v>
      </c>
      <c r="I18" s="20"/>
      <c r="J18" s="40">
        <f>IF(DAY(JunSun1)=1,IF(AND(YEAR(JunSun1+8)=CalendarYear,MONTH(JunSun1+8)=6),JunSun1+8,""),IF(AND(YEAR(JunSun1+15)=CalendarYear,MONTH(JunSun1+15)=6),JunSun1+15,""))</f>
        <v>46187</v>
      </c>
      <c r="K18" s="40">
        <f>IF(DAY(JunSun1)=1,IF(AND(YEAR(JunSun1+9)=CalendarYear,MONTH(JunSun1+9)=6),JunSun1+9,""),IF(AND(YEAR(JunSun1+16)=CalendarYear,MONTH(JunSun1+16)=6),JunSun1+16,""))</f>
        <v>46188</v>
      </c>
      <c r="L18" s="41">
        <f>IF(DAY(JunSun1)=1,IF(AND(YEAR(JunSun1+10)=CalendarYear,MONTH(JunSun1+10)=6),JunSun1+10,""),IF(AND(YEAR(JunSun1+17)=CalendarYear,MONTH(JunSun1+17)=6),JunSun1+17,""))</f>
        <v>46189</v>
      </c>
      <c r="M18" s="41">
        <f>IF(DAY(JunSun1)=1,IF(AND(YEAR(JunSun1+11)=CalendarYear,MONTH(JunSun1+11)=6),JunSun1+11,""),IF(AND(YEAR(JunSun1+18)=CalendarYear,MONTH(JunSun1+18)=6),JunSun1+18,""))</f>
        <v>46190</v>
      </c>
      <c r="N18" s="44">
        <f>IF(DAY(JunSun1)=1,IF(AND(YEAR(JunSun1+12)=CalendarYear,MONTH(JunSun1+12)=6),JunSun1+12,""),IF(AND(YEAR(JunSun1+19)=CalendarYear,MONTH(JunSun1+19)=6),JunSun1+19,""))</f>
        <v>46191</v>
      </c>
      <c r="O18" s="44">
        <f>IF(DAY(JunSun1)=1,IF(AND(YEAR(JunSun1+13)=CalendarYear,MONTH(JunSun1+13)=6),JunSun1+13,""),IF(AND(YEAR(JunSun1+20)=CalendarYear,MONTH(JunSun1+20)=6),JunSun1+20,""))</f>
        <v>46192</v>
      </c>
      <c r="P18" s="40">
        <f>IF(DAY(JunSun1)=1,IF(AND(YEAR(JunSun1+14)=CalendarYear,MONTH(JunSun1+14)=6),JunSun1+14,""),IF(AND(YEAR(JunSun1+21)=CalendarYear,MONTH(JunSun1+21)=6),JunSun1+21,""))</f>
        <v>46193</v>
      </c>
      <c r="Q18" s="20"/>
      <c r="R18" s="40">
        <f>IF(DAY(JulSun1)=1,IF(AND(YEAR(JulSun1+8)=CalendarYear,MONTH(JulSun1+8)=7),JulSun1+8,""),IF(AND(YEAR(JulSun1+15)=CalendarYear,MONTH(JulSun1+15)=7),JulSun1+15,""))</f>
        <v>46215</v>
      </c>
      <c r="S18" s="38">
        <f>IF(DAY(JulSun1)=1,IF(AND(YEAR(JulSun1+9)=CalendarYear,MONTH(JulSun1+9)=7),JulSun1+9,""),IF(AND(YEAR(JulSun1+16)=CalendarYear,MONTH(JulSun1+16)=7),JulSun1+16,""))</f>
        <v>46216</v>
      </c>
      <c r="T18" s="97" t="s">
        <v>21</v>
      </c>
      <c r="U18" s="98"/>
      <c r="V18" s="99"/>
      <c r="W18" s="44">
        <f>IF(DAY(JulSun1)=1,IF(AND(YEAR(JulSun1+13)=CalendarYear,MONTH(JulSun1+13)=7),JulSun1+13,""),IF(AND(YEAR(JulSun1+20)=CalendarYear,MONTH(JulSun1+20)=7),JulSun1+20,""))</f>
        <v>46220</v>
      </c>
      <c r="X18" s="40">
        <f>IF(DAY(JulSun1)=1,IF(AND(YEAR(JulSun1+14)=CalendarYear,MONTH(JulSun1+14)=7),JulSun1+14,""),IF(AND(YEAR(JulSun1+21)=CalendarYear,MONTH(JulSun1+21)=7),JulSun1+21,""))</f>
        <v>46221</v>
      </c>
      <c r="Y18" s="20"/>
      <c r="Z18" s="108" t="s">
        <v>31</v>
      </c>
      <c r="AA18" s="109"/>
      <c r="AB18" s="109"/>
      <c r="AC18" s="109"/>
      <c r="AD18" s="110"/>
      <c r="AE18" s="46">
        <v>14</v>
      </c>
      <c r="AF18" s="46">
        <v>15</v>
      </c>
    </row>
    <row r="19" spans="1:32" s="8" customFormat="1" ht="60" customHeight="1" x14ac:dyDescent="0.3">
      <c r="A19" s="20"/>
      <c r="B19" s="88" t="s">
        <v>32</v>
      </c>
      <c r="C19" s="123" t="s">
        <v>19</v>
      </c>
      <c r="D19" s="123"/>
      <c r="E19" s="124"/>
      <c r="F19" s="88" t="s">
        <v>33</v>
      </c>
      <c r="G19" s="40">
        <f>IF(DAY(MaySun1)=1,IF(AND(YEAR(MaySun1+20)=CalendarYear,MONTH(MaySun1+20)=5),MaySun1+20,""),IF(AND(YEAR(MaySun1+27)=CalendarYear,MONTH(MaySun1+27)=5),MaySun1+27,""))</f>
        <v>46164</v>
      </c>
      <c r="H19" s="40">
        <f>IF(DAY(MaySun1)=1,IF(AND(YEAR(MaySun1+21)=CalendarYear,MONTH(MaySun1+21)=5),MaySun1+21,""),IF(AND(YEAR(MaySun1+28)=CalendarYear,MONTH(MaySun1+28)=5),MaySun1+28,""))</f>
        <v>46165</v>
      </c>
      <c r="I19" s="20"/>
      <c r="J19" s="39">
        <f>IF(DAY(JunSun1)=1,IF(AND(YEAR(JunSun1+15)=CalendarYear,MONTH(JunSun1+15)=6),JunSun1+15,""),IF(AND(YEAR(JunSun1+22)=CalendarYear,MONTH(JunSun1+22)=6),JunSun1+22,""))</f>
        <v>46194</v>
      </c>
      <c r="K19" s="39">
        <f>IF(DAY(JunSun1)=1,IF(AND(YEAR(JunSun1+16)=CalendarYear,MONTH(JunSun1+16)=6),JunSun1+16,""),IF(AND(YEAR(JunSun1+23)=CalendarYear,MONTH(JunSun1+23)=6),JunSun1+23,""))</f>
        <v>46195</v>
      </c>
      <c r="L19" s="46">
        <v>23</v>
      </c>
      <c r="M19" s="103" t="s">
        <v>34</v>
      </c>
      <c r="N19" s="104"/>
      <c r="O19" s="40">
        <f>IF(DAY(JunSun1)=1,IF(AND(YEAR(JunSun1+20)=CalendarYear,MONTH(JunSun1+20)=6),JunSun1+20,""),IF(AND(YEAR(JunSun1+27)=CalendarYear,MONTH(JunSun1+27)=6),JunSun1+27,""))</f>
        <v>46199</v>
      </c>
      <c r="P19" s="40">
        <f>IF(DAY(JunSun1)=1,IF(AND(YEAR(JunSun1+21)=CalendarYear,MONTH(JunSun1+21)=6),JunSun1+21,""),IF(AND(YEAR(JunSun1+28)=CalendarYear,MONTH(JunSun1+28)=6),JunSun1+28,""))</f>
        <v>46200</v>
      </c>
      <c r="Q19" s="20"/>
      <c r="R19" s="94" t="s">
        <v>35</v>
      </c>
      <c r="S19" s="95"/>
      <c r="T19" s="95"/>
      <c r="U19" s="96"/>
      <c r="V19" s="46">
        <v>23</v>
      </c>
      <c r="W19" s="40">
        <f>IF(DAY(JulSun1)=1,IF(AND(YEAR(JulSun1+20)=CalendarYear,MONTH(JulSun1+20)=7),JulSun1+20,""),IF(AND(YEAR(JulSun1+27)=CalendarYear,MONTH(JulSun1+27)=7),JulSun1+27,""))</f>
        <v>46227</v>
      </c>
      <c r="X19" s="40">
        <f>IF(DAY(JulSun1)=1,IF(AND(YEAR(JulSun1+21)=CalendarYear,MONTH(JulSun1+21)=7),JulSun1+21,""),IF(AND(YEAR(JulSun1+28)=CalendarYear,MONTH(JulSun1+28)=7),JulSun1+28,""))</f>
        <v>46228</v>
      </c>
      <c r="Y19" s="20"/>
      <c r="Z19" s="111" t="s">
        <v>36</v>
      </c>
      <c r="AA19" s="112"/>
      <c r="AB19" s="118"/>
      <c r="AC19" s="115" t="s">
        <v>37</v>
      </c>
      <c r="AD19" s="115"/>
      <c r="AE19" s="116"/>
      <c r="AF19" s="117"/>
    </row>
    <row r="20" spans="1:32" s="8" customFormat="1" ht="60" customHeight="1" x14ac:dyDescent="0.3">
      <c r="A20" s="20"/>
      <c r="B20" s="122" t="s">
        <v>38</v>
      </c>
      <c r="C20" s="95"/>
      <c r="D20" s="96"/>
      <c r="E20" s="115" t="s">
        <v>39</v>
      </c>
      <c r="F20" s="115"/>
      <c r="G20" s="75"/>
      <c r="H20" s="37">
        <f>IF(DAY(MaySun1)=1,IF(AND(YEAR(MaySun1+28)=CalendarYear,MONTH(MaySun1+28)=5),MaySun1+28,""),IF(AND(YEAR(MaySun1+35)=CalendarYear,MONTH(MaySun1+35)=5),MaySun1+35,""))</f>
        <v>46172</v>
      </c>
      <c r="I20" s="20"/>
      <c r="J20" s="41">
        <f>IF(DAY(JunSun1)=1,IF(AND(YEAR(JunSun1+22)=CalendarYear,MONTH(JunSun1+22)=6),JunSun1+22,""),IF(AND(YEAR(JunSun1+29)=CalendarYear,MONTH(JunSun1+29)=6),JunSun1+29,""))</f>
        <v>46201</v>
      </c>
      <c r="K20" s="41">
        <f>IF(DAY(JunSun1)=1,IF(AND(YEAR(JunSun1+23)=CalendarYear,MONTH(JunSun1+23)=6),JunSun1+23,""),IF(AND(YEAR(JunSun1+30)=CalendarYear,MONTH(JunSun1+30)=6),JunSun1+30,""))</f>
        <v>46202</v>
      </c>
      <c r="L20" s="43">
        <f>IF(DAY(JunSun1)=1,IF(AND(YEAR(JunSun1+24)=CalendarYear,MONTH(JunSun1+24)=6),JunSun1+24,""),IF(AND(YEAR(JunSun1+31)=CalendarYear,MONTH(JunSun1+31)=6),JunSun1+31,""))</f>
        <v>46203</v>
      </c>
      <c r="M20" s="43" t="str">
        <f>IF(DAY(JunSun1)=1,IF(AND(YEAR(JunSun1+25)=CalendarYear,MONTH(JunSun1+25)=6),JunSun1+25,""),IF(AND(YEAR(JunSun1+32)=CalendarYear,MONTH(JunSun1+32)=6),JunSun1+32,""))</f>
        <v/>
      </c>
      <c r="N20" s="43" t="str">
        <f>IF(DAY(JunSun1)=1,IF(AND(YEAR(JunSun1+26)=CalendarYear,MONTH(JunSun1+26)=6),JunSun1+26,""),IF(AND(YEAR(JunSun1+33)=CalendarYear,MONTH(JunSun1+33)=6),JunSun1+33,""))</f>
        <v/>
      </c>
      <c r="O20" s="37" t="str">
        <f>IF(DAY(JunSun1)=1,IF(AND(YEAR(JunSun1+27)=CalendarYear,MONTH(JunSun1+27)=6),JunSun1+27,""),IF(AND(YEAR(JunSun1+34)=CalendarYear,MONTH(JunSun1+34)=6),JunSun1+34,""))</f>
        <v/>
      </c>
      <c r="P20" s="37" t="str">
        <f>IF(DAY(JunSun1)=1,IF(AND(YEAR(JunSun1+28)=CalendarYear,MONTH(JunSun1+28)=6),JunSun1+28,""),IF(AND(YEAR(JunSun1+35)=CalendarYear,MONTH(JunSun1+35)=6),JunSun1+35,""))</f>
        <v/>
      </c>
      <c r="Q20" s="20"/>
      <c r="R20" s="41">
        <f>IF(DAY(JulSun1)=1,IF(AND(YEAR(JulSun1+22)=CalendarYear,MONTH(JulSun1+22)=7),JulSun1+22,""),IF(AND(YEAR(JulSun1+29)=CalendarYear,MONTH(JulSun1+29)=7),JulSun1+29,""))</f>
        <v>46229</v>
      </c>
      <c r="S20" s="41">
        <f>IF(DAY(JulSun1)=1,IF(AND(YEAR(JulSun1+23)=CalendarYear,MONTH(JulSun1+23)=7),JulSun1+23,""),IF(AND(YEAR(JulSun1+30)=CalendarYear,MONTH(JulSun1+30)=7),JulSun1+30,""))</f>
        <v>46230</v>
      </c>
      <c r="T20" s="43">
        <f>IF(DAY(JulSun1)=1,IF(AND(YEAR(JulSun1+24)=CalendarYear,MONTH(JulSun1+24)=7),JulSun1+24,""),IF(AND(YEAR(JulSun1+31)=CalendarYear,MONTH(JulSun1+31)=7),JulSun1+31,""))</f>
        <v>46231</v>
      </c>
      <c r="U20" s="43">
        <f>IF(DAY(JulSun1)=1,IF(AND(YEAR(JulSun1+25)=CalendarYear,MONTH(JulSun1+25)=7),JulSun1+25,""),IF(AND(YEAR(JulSun1+32)=CalendarYear,MONTH(JulSun1+32)=7),JulSun1+32,""))</f>
        <v>46232</v>
      </c>
      <c r="V20" s="43">
        <f>IF(DAY(JulSun1)=1,IF(AND(YEAR(JulSun1+26)=CalendarYear,MONTH(JulSun1+26)=7),JulSun1+26,""),IF(AND(YEAR(JulSun1+33)=CalendarYear,MONTH(JulSun1+33)=7),JulSun1+33,""))</f>
        <v>46233</v>
      </c>
      <c r="W20" s="37">
        <f>IF(DAY(JulSun1)=1,IF(AND(YEAR(JulSun1+27)=CalendarYear,MONTH(JulSun1+27)=7),JulSun1+27,""),IF(AND(YEAR(JulSun1+34)=CalendarYear,MONTH(JulSun1+34)=7),JulSun1+34,""))</f>
        <v>46234</v>
      </c>
      <c r="X20" s="37" t="str">
        <f>IF(DAY(JulSun1)=1,IF(AND(YEAR(JulSun1+28)=CalendarYear,MONTH(JulSun1+28)=7),JulSun1+28,""),IF(AND(YEAR(JulSun1+35)=CalendarYear,MONTH(JulSun1+35)=7),JulSun1+35,""))</f>
        <v/>
      </c>
      <c r="Y20" s="20"/>
      <c r="Z20" s="128" t="s">
        <v>40</v>
      </c>
      <c r="AA20" s="129"/>
      <c r="AB20" s="129"/>
      <c r="AC20" s="129"/>
      <c r="AD20" s="129"/>
      <c r="AE20" s="130"/>
      <c r="AF20" s="37">
        <f>IF(DAY(AugSun1)=1,IF(AND(YEAR(AugSun1+28)=CalendarYear,MONTH(AugSun1+28)=8),AugSun1+28,""),IF(AND(YEAR(AugSun1+35)=CalendarYear,MONTH(AugSun1+35)=8),AugSun1+35,""))</f>
        <v>46263</v>
      </c>
    </row>
    <row r="21" spans="1:32" s="8" customFormat="1" ht="60" customHeight="1" x14ac:dyDescent="0.3">
      <c r="A21" s="20"/>
      <c r="B21" s="41">
        <f>IF(DAY(MaySun1)=1,IF(AND(YEAR(MaySun1+29)=CalendarYear,MONTH(MaySun1+29)=5),MaySun1+29,""),IF(AND(YEAR(MaySun1+36)=CalendarYear,MONTH(MaySun1+36)=5),MaySun1+36,""))</f>
        <v>46173</v>
      </c>
      <c r="C21" s="41" t="str">
        <f>IF(DAY(MaySun1)=1,IF(AND(YEAR(MaySun1+30)=CalendarYear,MONTH(MaySun1+30)=5),MaySun1+30,""),IF(AND(YEAR(MaySun1+37)=CalendarYear,MONTH(MaySun1+37)=5),MaySun1+37,""))</f>
        <v/>
      </c>
      <c r="D21" s="43" t="str">
        <f>IF(DAY(MaySun1)=1,IF(AND(YEAR(MaySun1+31)=CalendarYear,MONTH(MaySun1+31)=5),MaySun1+31,""),IF(AND(YEAR(MaySun1+38)=CalendarYear,MONTH(MaySun1+38)=5),MaySun1+38,""))</f>
        <v/>
      </c>
      <c r="E21" s="43" t="str">
        <f>IF(DAY(MaySun1)=1,IF(AND(YEAR(MaySun1+32)=CalendarYear,MONTH(MaySun1+32)=5),MaySun1+32,""),IF(AND(YEAR(MaySun1+39)=CalendarYear,MONTH(MaySun1+39)=5),MaySun1+39,""))</f>
        <v/>
      </c>
      <c r="F21" s="43" t="str">
        <f>IF(DAY(MaySun1)=1,IF(AND(YEAR(MaySun1+33)=CalendarYear,MONTH(MaySun1+33)=5),MaySun1+33,""),IF(AND(YEAR(MaySun1+40)=CalendarYear,MONTH(MaySun1+40)=5),MaySun1+40,""))</f>
        <v/>
      </c>
      <c r="G21" s="37" t="str">
        <f>IF(DAY(MaySun1)=1,IF(AND(YEAR(MaySun1+34)=CalendarYear,MONTH(MaySun1+34)=5),MaySun1+34,""),IF(AND(YEAR(MaySun1+41)=CalendarYear,MONTH(MaySun1+41)=5),MaySun1+41,""))</f>
        <v/>
      </c>
      <c r="H21" s="37" t="str">
        <f>IF(DAY(MaySun1)=1,IF(AND(YEAR(MaySun1+35)=CalendarYear,MONTH(MaySun1+35)=5),MaySun1+35,""),IF(AND(YEAR(MaySun1+42)=CalendarYear,MONTH(MaySun1+42)=5),MaySun1+42,""))</f>
        <v/>
      </c>
      <c r="I21" s="20"/>
      <c r="J21" s="41" t="str">
        <f>IF(DAY(JunSun1)=1,IF(AND(YEAR(JunSun1+29)=CalendarYear,MONTH(JunSun1+29)=6),JunSun1+29,""),IF(AND(YEAR(JunSun1+36)=CalendarYear,MONTH(JunSun1+36)=6),JunSun1+36,""))</f>
        <v/>
      </c>
      <c r="K21" s="41" t="str">
        <f>IF(DAY(JunSun1)=1,IF(AND(YEAR(JunSun1+30)=CalendarYear,MONTH(JunSun1+30)=6),JunSun1+30,""),IF(AND(YEAR(JunSun1+37)=CalendarYear,MONTH(JunSun1+37)=6),JunSun1+37,""))</f>
        <v/>
      </c>
      <c r="L21" s="43" t="str">
        <f>IF(DAY(JunSun1)=1,IF(AND(YEAR(JunSun1+31)=CalendarYear,MONTH(JunSun1+31)=6),JunSun1+31,""),IF(AND(YEAR(JunSun1+38)=CalendarYear,MONTH(JunSun1+38)=6),JunSun1+38,""))</f>
        <v/>
      </c>
      <c r="M21" s="43" t="str">
        <f>IF(DAY(JunSun1)=1,IF(AND(YEAR(JunSun1+32)=CalendarYear,MONTH(JunSun1+32)=6),JunSun1+32,""),IF(AND(YEAR(JunSun1+39)=CalendarYear,MONTH(JunSun1+39)=6),JunSun1+39,""))</f>
        <v/>
      </c>
      <c r="N21" s="43" t="str">
        <f>IF(DAY(JunSun1)=1,IF(AND(YEAR(JunSun1+33)=CalendarYear,MONTH(JunSun1+33)=6),JunSun1+33,""),IF(AND(YEAR(JunSun1+40)=CalendarYear,MONTH(JunSun1+40)=6),JunSun1+40,""))</f>
        <v/>
      </c>
      <c r="O21" s="37" t="str">
        <f>IF(DAY(JunSun1)=1,IF(AND(YEAR(JunSun1+34)=CalendarYear,MONTH(JunSun1+34)=6),JunSun1+34,""),IF(AND(YEAR(JunSun1+41)=CalendarYear,MONTH(JunSun1+41)=6),JunSun1+41,""))</f>
        <v/>
      </c>
      <c r="P21" s="37" t="str">
        <f>IF(DAY(JunSun1)=1,IF(AND(YEAR(JunSun1+35)=CalendarYear,MONTH(JunSun1+35)=6),JunSun1+35,""),IF(AND(YEAR(JunSun1+42)=CalendarYear,MONTH(JunSun1+42)=6),JunSun1+42,""))</f>
        <v/>
      </c>
      <c r="Q21" s="20"/>
      <c r="R21" s="41" t="str">
        <f>IF(DAY(JulSun1)=1,IF(AND(YEAR(JulSun1+29)=CalendarYear,MONTH(JulSun1+29)=7),JulSun1+29,""),IF(AND(YEAR(JulSun1+36)=CalendarYear,MONTH(JulSun1+36)=7),JulSun1+36,""))</f>
        <v/>
      </c>
      <c r="S21" s="41" t="str">
        <f>IF(DAY(JulSun1)=1,IF(AND(YEAR(JulSun1+30)=CalendarYear,MONTH(JulSun1+30)=7),JulSun1+30,""),IF(AND(YEAR(JulSun1+37)=CalendarYear,MONTH(JulSun1+37)=7),JulSun1+37,""))</f>
        <v/>
      </c>
      <c r="T21" s="43" t="str">
        <f>IF(DAY(JulSun1)=1,IF(AND(YEAR(JulSun1+31)=CalendarYear,MONTH(JulSun1+31)=7),JulSun1+31,""),IF(AND(YEAR(JulSun1+38)=CalendarYear,MONTH(JulSun1+38)=7),JulSun1+38,""))</f>
        <v/>
      </c>
      <c r="U21" s="43" t="str">
        <f>IF(DAY(JulSun1)=1,IF(AND(YEAR(JulSun1+32)=CalendarYear,MONTH(JulSun1+32)=7),JulSun1+32,""),IF(AND(YEAR(JulSun1+39)=CalendarYear,MONTH(JulSun1+39)=7),JulSun1+39,""))</f>
        <v/>
      </c>
      <c r="V21" s="43" t="str">
        <f>IF(DAY(JulSun1)=1,IF(AND(YEAR(JulSun1+33)=CalendarYear,MONTH(JulSun1+33)=7),JulSun1+33,""),IF(AND(YEAR(JulSun1+40)=CalendarYear,MONTH(JulSun1+40)=7),JulSun1+40,""))</f>
        <v/>
      </c>
      <c r="W21" s="37" t="str">
        <f>IF(DAY(JulSun1)=1,IF(AND(YEAR(JulSun1+34)=CalendarYear,MONTH(JulSun1+34)=7),JulSun1+34,""),IF(AND(YEAR(JulSun1+41)=CalendarYear,MONTH(JulSun1+41)=7),JulSun1+41,""))</f>
        <v/>
      </c>
      <c r="X21" s="37" t="str">
        <f>IF(DAY(JulSun1)=1,IF(AND(YEAR(JulSun1+35)=CalendarYear,MONTH(JulSun1+35)=7),JulSun1+35,""),IF(AND(YEAR(JulSun1+42)=CalendarYear,MONTH(JulSun1+42)=7),JulSun1+42,""))</f>
        <v/>
      </c>
      <c r="Y21" s="20"/>
      <c r="Z21" s="41">
        <f>IF(DAY(AugSun1)=1,IF(AND(YEAR(AugSun1+29)=CalendarYear,MONTH(AugSun1+29)=8),AugSun1+29,""),IF(AND(YEAR(AugSun1+36)=CalendarYear,MONTH(AugSun1+36)=8),AugSun1+36,""))</f>
        <v>46264</v>
      </c>
      <c r="AA21" s="41">
        <f>IF(DAY(AugSun1)=1,IF(AND(YEAR(AugSun1+30)=CalendarYear,MONTH(AugSun1+30)=8),AugSun1+30,""),IF(AND(YEAR(AugSun1+37)=CalendarYear,MONTH(AugSun1+37)=8),AugSun1+37,""))</f>
        <v>46265</v>
      </c>
      <c r="AB21" s="43" t="str">
        <f>IF(DAY(AugSun1)=1,IF(AND(YEAR(AugSun1+31)=CalendarYear,MONTH(AugSun1+31)=8),AugSun1+31,""),IF(AND(YEAR(AugSun1+38)=CalendarYear,MONTH(AugSun1+38)=8),AugSun1+38,""))</f>
        <v/>
      </c>
      <c r="AC21" s="43" t="str">
        <f>IF(DAY(AugSun1)=1,IF(AND(YEAR(AugSun1+32)=CalendarYear,MONTH(AugSun1+32)=8),AugSun1+32,""),IF(AND(YEAR(AugSun1+39)=CalendarYear,MONTH(AugSun1+39)=8),AugSun1+39,""))</f>
        <v/>
      </c>
      <c r="AD21" s="43" t="str">
        <f>IF(DAY(AugSun1)=1,IF(AND(YEAR(AugSun1+33)=CalendarYear,MONTH(AugSun1+33)=8),AugSun1+33,""),IF(AND(YEAR(AugSun1+40)=CalendarYear,MONTH(AugSun1+40)=8),AugSun1+40,""))</f>
        <v/>
      </c>
      <c r="AE21" s="37" t="str">
        <f>IF(DAY(AugSun1)=1,IF(AND(YEAR(AugSun1+34)=CalendarYear,MONTH(AugSun1+34)=8),AugSun1+34,""),IF(AND(YEAR(AugSun1+41)=CalendarYear,MONTH(AugSun1+41)=8),AugSun1+41,""))</f>
        <v/>
      </c>
      <c r="AF21" s="37" t="str">
        <f>IF(DAY(AugSun1)=1,IF(AND(YEAR(AugSun1+35)=CalendarYear,MONTH(AugSun1+35)=8),AugSun1+35,""),IF(AND(YEAR(AugSun1+42)=CalendarYear,MONTH(AugSun1+42)=8),AugSun1+42,""))</f>
        <v/>
      </c>
    </row>
    <row r="22" spans="1:32" s="7" customFormat="1" ht="60" customHeight="1" x14ac:dyDescent="0.3">
      <c r="A22" s="21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s="13" customFormat="1" ht="60" customHeight="1" x14ac:dyDescent="0.3">
      <c r="A23" s="22"/>
      <c r="B23" s="106" t="s">
        <v>41</v>
      </c>
      <c r="C23" s="106"/>
      <c r="D23" s="106"/>
      <c r="E23" s="106"/>
      <c r="F23" s="106"/>
      <c r="G23" s="106"/>
      <c r="H23" s="106"/>
      <c r="I23" s="28"/>
      <c r="J23" s="106" t="s">
        <v>42</v>
      </c>
      <c r="K23" s="106"/>
      <c r="L23" s="106"/>
      <c r="M23" s="106"/>
      <c r="N23" s="106"/>
      <c r="O23" s="106"/>
      <c r="P23" s="106"/>
      <c r="Q23" s="28"/>
      <c r="R23" s="106" t="s">
        <v>43</v>
      </c>
      <c r="S23" s="106"/>
      <c r="T23" s="106"/>
      <c r="U23" s="106"/>
      <c r="V23" s="106"/>
      <c r="W23" s="106"/>
      <c r="X23" s="106"/>
      <c r="Y23" s="28"/>
      <c r="Z23" s="106" t="s">
        <v>44</v>
      </c>
      <c r="AA23" s="106"/>
      <c r="AB23" s="106"/>
      <c r="AC23" s="106"/>
      <c r="AD23" s="106"/>
      <c r="AE23" s="106"/>
      <c r="AF23" s="106"/>
    </row>
    <row r="24" spans="1:32" s="6" customFormat="1" ht="60" customHeight="1" x14ac:dyDescent="0.25">
      <c r="A24" s="23"/>
      <c r="B24" s="34" t="s">
        <v>8</v>
      </c>
      <c r="C24" s="35" t="s">
        <v>9</v>
      </c>
      <c r="D24" s="35" t="s">
        <v>10</v>
      </c>
      <c r="E24" s="35" t="s">
        <v>11</v>
      </c>
      <c r="F24" s="35" t="s">
        <v>12</v>
      </c>
      <c r="G24" s="35" t="s">
        <v>13</v>
      </c>
      <c r="H24" s="36" t="s">
        <v>14</v>
      </c>
      <c r="I24" s="24"/>
      <c r="J24" s="34" t="s">
        <v>8</v>
      </c>
      <c r="K24" s="35" t="s">
        <v>9</v>
      </c>
      <c r="L24" s="35" t="s">
        <v>10</v>
      </c>
      <c r="M24" s="35" t="s">
        <v>11</v>
      </c>
      <c r="N24" s="35" t="s">
        <v>12</v>
      </c>
      <c r="O24" s="35" t="s">
        <v>13</v>
      </c>
      <c r="P24" s="36" t="s">
        <v>14</v>
      </c>
      <c r="Q24" s="24"/>
      <c r="R24" s="34" t="s">
        <v>8</v>
      </c>
      <c r="S24" s="35" t="s">
        <v>9</v>
      </c>
      <c r="T24" s="35" t="s">
        <v>10</v>
      </c>
      <c r="U24" s="35" t="s">
        <v>11</v>
      </c>
      <c r="V24" s="35" t="s">
        <v>12</v>
      </c>
      <c r="W24" s="35" t="s">
        <v>13</v>
      </c>
      <c r="X24" s="36" t="s">
        <v>14</v>
      </c>
      <c r="Y24" s="24"/>
      <c r="Z24" s="34" t="s">
        <v>8</v>
      </c>
      <c r="AA24" s="35" t="s">
        <v>9</v>
      </c>
      <c r="AB24" s="35" t="s">
        <v>10</v>
      </c>
      <c r="AC24" s="35" t="s">
        <v>11</v>
      </c>
      <c r="AD24" s="35" t="s">
        <v>12</v>
      </c>
      <c r="AE24" s="35" t="s">
        <v>13</v>
      </c>
      <c r="AF24" s="36" t="s">
        <v>14</v>
      </c>
    </row>
    <row r="25" spans="1:32" s="8" customFormat="1" ht="60" customHeight="1" x14ac:dyDescent="0.3">
      <c r="A25" s="20"/>
      <c r="B25" s="37" t="str">
        <f>IF(DAY(SepSun1)=1,"",IF(AND(YEAR(SepSun1+1)=CalendarYear,MONTH(SepSun1+1)=9),SepSun1+1,""))</f>
        <v/>
      </c>
      <c r="C25" s="37" t="str">
        <f>IF(DAY(SepSun1)=1,"",IF(AND(YEAR(SepSun1+2)=CalendarYear,MONTH(SepSun1+2)=9),SepSun1+2,""))</f>
        <v/>
      </c>
      <c r="D25" s="39">
        <f>IF(DAY(SepSun1)=1,"",IF(AND(YEAR(SepSun1+3)=CalendarYear,MONTH(SepSun1+3)=9),SepSun1+3,""))</f>
        <v>46266</v>
      </c>
      <c r="E25" s="39">
        <f>IF(DAY(SepSun1)=1,"",IF(AND(YEAR(SepSun1+4)=CalendarYear,MONTH(SepSun1+4)=9),SepSun1+4,""))</f>
        <v>46267</v>
      </c>
      <c r="F25" s="39">
        <f>IF(DAY(SepSun1)=1,"",IF(AND(YEAR(SepSun1+5)=CalendarYear,MONTH(SepSun1+5)=9),SepSun1+5,""))</f>
        <v>46268</v>
      </c>
      <c r="G25" s="40">
        <f>IF(DAY(SepSun1)=1,"",IF(AND(YEAR(SepSun1+6)=CalendarYear,MONTH(SepSun1+6)=9),SepSun1+6,""))</f>
        <v>46269</v>
      </c>
      <c r="H25" s="40">
        <f>IF(DAY(SepSun1)=1,IF(AND(YEAR(SepSun1)=CalendarYear,MONTH(SepSun1)=9),SepSun1,""),IF(AND(YEAR(SepSun1+7)=CalendarYear,MONTH(SepSun1+7)=9),SepSun1+7,""))</f>
        <v>46270</v>
      </c>
      <c r="I25" s="20"/>
      <c r="J25" s="37" t="str">
        <f>IF(DAY(OctSun1)=1,"",IF(AND(YEAR(OctSun1+1)=CalendarYear,MONTH(OctSun1+1)=10),OctSun1+1,""))</f>
        <v/>
      </c>
      <c r="K25" s="37" t="str">
        <f>IF(DAY(OctSun1)=1,"",IF(AND(YEAR(OctSun1+2)=CalendarYear,MONTH(OctSun1+2)=10),OctSun1+2,""))</f>
        <v/>
      </c>
      <c r="L25" s="39" t="str">
        <f>IF(DAY(OctSun1)=1,"",IF(AND(YEAR(OctSun1+3)=CalendarYear,MONTH(OctSun1+3)=10),OctSun1+3,""))</f>
        <v/>
      </c>
      <c r="M25" s="39" t="str">
        <f>IF(DAY(OctSun1)=1,"",IF(AND(YEAR(OctSun1+4)=CalendarYear,MONTH(OctSun1+4)=10),OctSun1+4,""))</f>
        <v/>
      </c>
      <c r="N25" s="39">
        <f>IF(DAY(OctSun1)=1,"",IF(AND(YEAR(OctSun1+5)=CalendarYear,MONTH(OctSun1+5)=10),OctSun1+5,""))</f>
        <v>46296</v>
      </c>
      <c r="O25" s="40">
        <f>IF(DAY(OctSun1)=1,"",IF(AND(YEAR(OctSun1+6)=CalendarYear,MONTH(OctSun1+6)=10),OctSun1+6,""))</f>
        <v>46297</v>
      </c>
      <c r="P25" s="40">
        <f>IF(DAY(OctSun1)=1,IF(AND(YEAR(OctSun1)=CalendarYear,MONTH(OctSun1)=10),OctSun1,""),IF(AND(YEAR(OctSun1+7)=CalendarYear,MONTH(OctSun1+7)=10),OctSun1+7,""))</f>
        <v>46298</v>
      </c>
      <c r="Q25" s="20"/>
      <c r="R25" s="37">
        <f>IF(DAY(NovSun1)=1,"",IF(AND(YEAR(NovSun1+1)=CalendarYear,MONTH(NovSun1+1)=11),NovSun1+1,""))</f>
        <v>46327</v>
      </c>
      <c r="S25" s="37">
        <f>IF(DAY(NovSun1)=1,"",IF(AND(YEAR(NovSun1+2)=CalendarYear,MONTH(NovSun1+2)=11),NovSun1+2,""))</f>
        <v>46328</v>
      </c>
      <c r="T25" s="39">
        <f>IF(DAY(NovSun1)=1,"",IF(AND(YEAR(NovSun1+3)=CalendarYear,MONTH(NovSun1+3)=11),NovSun1+3,""))</f>
        <v>46329</v>
      </c>
      <c r="U25" s="39">
        <f>IF(DAY(NovSun1)=1,"",IF(AND(YEAR(NovSun1+4)=CalendarYear,MONTH(NovSun1+4)=11),NovSun1+4,""))</f>
        <v>46330</v>
      </c>
      <c r="V25" s="39">
        <f>IF(DAY(NovSun1)=1,"",IF(AND(YEAR(NovSun1+5)=CalendarYear,MONTH(NovSun1+5)=11),NovSun1+5,""))</f>
        <v>46331</v>
      </c>
      <c r="W25" s="40">
        <f>IF(DAY(NovSun1)=1,"",IF(AND(YEAR(NovSun1+6)=CalendarYear,MONTH(NovSun1+6)=11),NovSun1+6,""))</f>
        <v>46332</v>
      </c>
      <c r="X25" s="40">
        <f>IF(DAY(NovSun1)=1,IF(AND(YEAR(NovSun1)=CalendarYear,MONTH(NovSun1)=11),NovSun1,""),IF(AND(YEAR(NovSun1+7)=CalendarYear,MONTH(NovSun1+7)=11),NovSun1+7,""))</f>
        <v>46333</v>
      </c>
      <c r="Y25" s="20"/>
      <c r="Z25" s="37" t="str">
        <f>IF(DAY(DecSun1)=1,"",IF(AND(YEAR(DecSun1+1)=CalendarYear,MONTH(DecSun1+1)=12),DecSun1+1,""))</f>
        <v/>
      </c>
      <c r="AA25" s="37" t="str">
        <f>IF(DAY(DecSun1)=1,"",IF(AND(YEAR(DecSun1+2)=CalendarYear,MONTH(DecSun1+2)=12),DecSun1+2,""))</f>
        <v/>
      </c>
      <c r="AB25" s="39">
        <f>IF(DAY(DecSun1)=1,"",IF(AND(YEAR(DecSun1+3)=CalendarYear,MONTH(DecSun1+3)=12),DecSun1+3,""))</f>
        <v>46357</v>
      </c>
      <c r="AC25" s="39">
        <f>IF(DAY(DecSun1)=1,"",IF(AND(YEAR(DecSun1+4)=CalendarYear,MONTH(DecSun1+4)=12),DecSun1+4,""))</f>
        <v>46358</v>
      </c>
      <c r="AD25" s="39">
        <f>IF(DAY(DecSun1)=1,"",IF(AND(YEAR(DecSun1+5)=CalendarYear,MONTH(DecSun1+5)=12),DecSun1+5,""))</f>
        <v>46359</v>
      </c>
      <c r="AE25" s="40">
        <f>IF(DAY(DecSun1)=1,"",IF(AND(YEAR(DecSun1+6)=CalendarYear,MONTH(DecSun1+6)=12),DecSun1+6,""))</f>
        <v>46360</v>
      </c>
      <c r="AF25" s="40">
        <f>IF(DAY(DecSun1)=1,IF(AND(YEAR(DecSun1)=CalendarYear,MONTH(DecSun1)=12),DecSun1,""),IF(AND(YEAR(DecSun1+7)=CalendarYear,MONTH(DecSun1+7)=12),DecSun1+7,""))</f>
        <v>46361</v>
      </c>
    </row>
    <row r="26" spans="1:32" s="8" customFormat="1" ht="60" customHeight="1" x14ac:dyDescent="0.3">
      <c r="A26" s="20"/>
      <c r="B26" s="41">
        <f>IF(DAY(SepSun1)=1,IF(AND(YEAR(SepSun1+1)=CalendarYear,MONTH(SepSun1+1)=9),SepSun1+1,""),IF(AND(YEAR(SepSun1+8)=CalendarYear,MONTH(SepSun1+8)=9),SepSun1+8,""))</f>
        <v>46271</v>
      </c>
      <c r="C26" s="41">
        <f>IF(DAY(SepSun1)=1,IF(AND(YEAR(SepSun1+2)=CalendarYear,MONTH(SepSun1+2)=9),SepSun1+2,""),IF(AND(YEAR(SepSun1+9)=CalendarYear,MONTH(SepSun1+9)=9),SepSun1+9,""))</f>
        <v>46272</v>
      </c>
      <c r="D26" s="41">
        <f>IF(DAY(SepSun1)=1,IF(AND(YEAR(SepSun1+3)=CalendarYear,MONTH(SepSun1+3)=9),SepSun1+3,""),IF(AND(YEAR(SepSun1+10)=CalendarYear,MONTH(SepSun1+10)=9),SepSun1+10,""))</f>
        <v>46273</v>
      </c>
      <c r="E26" s="38">
        <f>IF(DAY(SepSun1)=1,IF(AND(YEAR(SepSun1+4)=CalendarYear,MONTH(SepSun1+4)=9),SepSun1+4,""),IF(AND(YEAR(SepSun1+11)=CalendarYear,MONTH(SepSun1+11)=9),SepSun1+11,""))</f>
        <v>46274</v>
      </c>
      <c r="F26" s="40">
        <f>IF(DAY(SepSun1)=1,IF(AND(YEAR(SepSun1+5)=CalendarYear,MONTH(SepSun1+5)=9),SepSun1+5,""),IF(AND(YEAR(SepSun1+12)=CalendarYear,MONTH(SepSun1+12)=9),SepSun1+12,""))</f>
        <v>46275</v>
      </c>
      <c r="G26" s="39">
        <f>IF(DAY(SepSun1)=1,IF(AND(YEAR(SepSun1+6)=CalendarYear,MONTH(SepSun1+6)=9),SepSun1+6,""),IF(AND(YEAR(SepSun1+13)=CalendarYear,MONTH(SepSun1+13)=9),SepSun1+13,""))</f>
        <v>46276</v>
      </c>
      <c r="H26" s="38">
        <f>IF(DAY(SepSun1)=1,IF(AND(YEAR(SepSun1+7)=CalendarYear,MONTH(SepSun1+7)=9),SepSun1+7,""),IF(AND(YEAR(SepSun1+14)=CalendarYear,MONTH(SepSun1+14)=9),SepSun1+14,""))</f>
        <v>46277</v>
      </c>
      <c r="I26" s="20"/>
      <c r="J26" s="58">
        <f>IF(DAY(OctSun1)=1,IF(AND(YEAR(OctSun1+1)=CalendarYear,MONTH(OctSun1+1)=10),OctSun1+1,""),IF(AND(YEAR(OctSun1+8)=CalendarYear,MONTH(OctSun1+8)=10),OctSun1+8,""))</f>
        <v>46299</v>
      </c>
      <c r="K26" s="131" t="s">
        <v>45</v>
      </c>
      <c r="L26" s="132"/>
      <c r="M26" s="132"/>
      <c r="N26" s="132"/>
      <c r="O26" s="133"/>
      <c r="P26" s="39">
        <f>IF(DAY(OctSun1)=1,IF(AND(YEAR(OctSun1+7)=CalendarYear,MONTH(OctSun1+7)=10),OctSun1+7,""),IF(AND(YEAR(OctSun1+14)=CalendarYear,MONTH(OctSun1+14)=10),OctSun1+14,""))</f>
        <v>46305</v>
      </c>
      <c r="Q26" s="20"/>
      <c r="R26" s="41">
        <f>IF(DAY(NovSun1)=1,IF(AND(YEAR(NovSun1+1)=CalendarYear,MONTH(NovSun1+1)=11),NovSun1+1,""),IF(AND(YEAR(NovSun1+8)=CalendarYear,MONTH(NovSun1+8)=11),NovSun1+8,""))</f>
        <v>46334</v>
      </c>
      <c r="S26" s="46">
        <v>9</v>
      </c>
      <c r="T26" s="46">
        <v>10</v>
      </c>
      <c r="U26" s="46">
        <v>11</v>
      </c>
      <c r="V26" s="46">
        <v>12</v>
      </c>
      <c r="W26" s="39">
        <f>IF(DAY(NovSun1)=1,IF(AND(YEAR(NovSun1+6)=CalendarYear,MONTH(NovSun1+6)=11),NovSun1+6,""),IF(AND(YEAR(NovSun1+13)=CalendarYear,MONTH(NovSun1+13)=11),NovSun1+13,""))</f>
        <v>46339</v>
      </c>
      <c r="X26" s="39">
        <f>IF(DAY(NovSun1)=1,IF(AND(YEAR(NovSun1+7)=CalendarYear,MONTH(NovSun1+7)=11),NovSun1+7,""),IF(AND(YEAR(NovSun1+14)=CalendarYear,MONTH(NovSun1+14)=11),NovSun1+14,""))</f>
        <v>46340</v>
      </c>
      <c r="Y26" s="20"/>
      <c r="Z26" s="41">
        <f>IF(DAY(DecSun1)=1,IF(AND(YEAR(DecSun1+1)=CalendarYear,MONTH(DecSun1+1)=12),DecSun1+1,""),IF(AND(YEAR(DecSun1+8)=CalendarYear,MONTH(DecSun1+8)=12),DecSun1+8,""))</f>
        <v>46362</v>
      </c>
      <c r="AA26" s="41">
        <f>IF(DAY(DecSun1)=1,IF(AND(YEAR(DecSun1+2)=CalendarYear,MONTH(DecSun1+2)=12),DecSun1+2,""),IF(AND(YEAR(DecSun1+9)=CalendarYear,MONTH(DecSun1+9)=12),DecSun1+9,""))</f>
        <v>46363</v>
      </c>
      <c r="AB26" s="41">
        <f>IF(DAY(DecSun1)=1,IF(AND(YEAR(DecSun1+3)=CalendarYear,MONTH(DecSun1+3)=12),DecSun1+3,""),IF(AND(YEAR(DecSun1+10)=CalendarYear,MONTH(DecSun1+10)=12),DecSun1+10,""))</f>
        <v>46364</v>
      </c>
      <c r="AC26" s="40">
        <f>IF(DAY(DecSun1)=1,IF(AND(YEAR(DecSun1+4)=CalendarYear,MONTH(DecSun1+4)=12),DecSun1+4,""),IF(AND(YEAR(DecSun1+11)=CalendarYear,MONTH(DecSun1+11)=12),DecSun1+11,""))</f>
        <v>46365</v>
      </c>
      <c r="AD26" s="40">
        <f>IF(DAY(DecSun1)=1,IF(AND(YEAR(DecSun1+5)=CalendarYear,MONTH(DecSun1+5)=12),DecSun1+5,""),IF(AND(YEAR(DecSun1+12)=CalendarYear,MONTH(DecSun1+12)=12),DecSun1+12,""))</f>
        <v>46366</v>
      </c>
      <c r="AE26" s="39">
        <f>IF(DAY(DecSun1)=1,IF(AND(YEAR(DecSun1+6)=CalendarYear,MONTH(DecSun1+6)=12),DecSun1+6,""),IF(AND(YEAR(DecSun1+13)=CalendarYear,MONTH(DecSun1+13)=12),DecSun1+13,""))</f>
        <v>46367</v>
      </c>
      <c r="AF26" s="39">
        <f>IF(DAY(DecSun1)=1,IF(AND(YEAR(DecSun1+7)=CalendarYear,MONTH(DecSun1+7)=12),DecSun1+7,""),IF(AND(YEAR(DecSun1+14)=CalendarYear,MONTH(DecSun1+14)=12),DecSun1+14,""))</f>
        <v>46368</v>
      </c>
    </row>
    <row r="27" spans="1:32" s="8" customFormat="1" ht="60" customHeight="1" x14ac:dyDescent="0.3">
      <c r="A27" s="20"/>
      <c r="B27" s="51">
        <f>IF(DAY(SepSun1)=1,IF(AND(YEAR(SepSun1+8)=CalendarYear,MONTH(SepSun1+8)=9),SepSun1+8,""),IF(AND(YEAR(SepSun1+15)=CalendarYear,MONTH(SepSun1+15)=9),SepSun1+15,""))</f>
        <v>46278</v>
      </c>
      <c r="C27" s="51">
        <f>IF(DAY(SepSun1)=1,IF(AND(YEAR(SepSun1+9)=CalendarYear,MONTH(SepSun1+9)=9),SepSun1+9,""),IF(AND(YEAR(SepSun1+16)=CalendarYear,MONTH(SepSun1+16)=9),SepSun1+16,""))</f>
        <v>46279</v>
      </c>
      <c r="D27" s="74">
        <v>15</v>
      </c>
      <c r="E27" s="74">
        <v>16</v>
      </c>
      <c r="F27" s="61">
        <f>IF(DAY(SepSun1)=1,IF(AND(YEAR(SepSun1+12)=CalendarYear,MONTH(SepSun1+12)=9),SepSun1+12,""),IF(AND(YEAR(SepSun1+19)=CalendarYear,MONTH(SepSun1+19)=9),SepSun1+19,""))</f>
        <v>46282</v>
      </c>
      <c r="G27" s="44">
        <f>IF(DAY(SepSun1)=1,IF(AND(YEAR(SepSun1+13)=CalendarYear,MONTH(SepSun1+13)=9),SepSun1+13,""),IF(AND(YEAR(SepSun1+20)=CalendarYear,MONTH(SepSun1+20)=9),SepSun1+20,""))</f>
        <v>46283</v>
      </c>
      <c r="H27" s="56"/>
      <c r="I27" s="20"/>
      <c r="J27" s="76">
        <f>IF(DAY(OctSun1)=1,IF(AND(YEAR(OctSun1+8)=CalendarYear,MONTH(OctSun1+8)=10),OctSun1+8,""),IF(AND(YEAR(OctSun1+15)=CalendarYear,MONTH(OctSun1+15)=10),OctSun1+15,""))</f>
        <v>46306</v>
      </c>
      <c r="K27" s="77">
        <f>IF(DAY(OctSun1)=1,IF(AND(YEAR(OctSun1+9)=CalendarYear,MONTH(OctSun1+9)=10),OctSun1+9,""),IF(AND(YEAR(OctSun1+16)=CalendarYear,MONTH(OctSun1+16)=10),OctSun1+16,""))</f>
        <v>46307</v>
      </c>
      <c r="L27" s="78">
        <f>IF(DAY(OctSun1)=1,IF(AND(YEAR(OctSun1+10)=CalendarYear,MONTH(OctSun1+10)=10),OctSun1+10,""),IF(AND(YEAR(OctSun1+17)=CalendarYear,MONTH(OctSun1+17)=10),OctSun1+17,""))</f>
        <v>46308</v>
      </c>
      <c r="M27" s="79">
        <f>IF(DAY(OctSun1)=1,IF(AND(YEAR(OctSun1+11)=CalendarYear,MONTH(OctSun1+11)=10),OctSun1+11,""),IF(AND(YEAR(OctSun1+18)=CalendarYear,MONTH(OctSun1+18)=10),OctSun1+18,""))</f>
        <v>46309</v>
      </c>
      <c r="N27" s="61">
        <f>IF(DAY(OctSun1)=1,IF(AND(YEAR(OctSun1+12)=CalendarYear,MONTH(OctSun1+12)=10),OctSun1+12,""),IF(AND(YEAR(OctSun1+19)=CalendarYear,MONTH(OctSun1+19)=10),OctSun1+19,""))</f>
        <v>46310</v>
      </c>
      <c r="O27" s="134"/>
      <c r="P27" s="135"/>
      <c r="Q27" s="20"/>
      <c r="R27" s="40">
        <f>IF(DAY(NovSun1)=1,IF(AND(YEAR(NovSun1+8)=CalendarYear,MONTH(NovSun1+8)=11),NovSun1+8,""),IF(AND(YEAR(NovSun1+15)=CalendarYear,MONTH(NovSun1+15)=11),NovSun1+15,""))</f>
        <v>46341</v>
      </c>
      <c r="S27" s="40">
        <f>IF(DAY(NovSun1)=1,IF(AND(YEAR(NovSun1+9)=CalendarYear,MONTH(NovSun1+9)=11),NovSun1+9,""),IF(AND(YEAR(NovSun1+16)=CalendarYear,MONTH(NovSun1+16)=11),NovSun1+16,""))</f>
        <v>46342</v>
      </c>
      <c r="T27" s="41">
        <f>IF(DAY(NovSun1)=1,IF(AND(YEAR(NovSun1+10)=CalendarYear,MONTH(NovSun1+10)=11),NovSun1+10,""),IF(AND(YEAR(NovSun1+17)=CalendarYear,MONTH(NovSun1+17)=11),NovSun1+17,""))</f>
        <v>46343</v>
      </c>
      <c r="U27" s="41">
        <f>IF(DAY(NovSun1)=1,IF(AND(YEAR(NovSun1+11)=CalendarYear,MONTH(NovSun1+11)=11),NovSun1+11,""),IF(AND(YEAR(NovSun1+18)=CalendarYear,MONTH(NovSun1+18)=11),NovSun1+18,""))</f>
        <v>46344</v>
      </c>
      <c r="V27" s="44">
        <f>IF(DAY(NovSun1)=1,IF(AND(YEAR(NovSun1+12)=CalendarYear,MONTH(NovSun1+12)=11),NovSun1+12,""),IF(AND(YEAR(NovSun1+19)=CalendarYear,MONTH(NovSun1+19)=11),NovSun1+19,""))</f>
        <v>46345</v>
      </c>
      <c r="W27" s="44">
        <f>IF(DAY(NovSun1)=1,IF(AND(YEAR(NovSun1+13)=CalendarYear,MONTH(NovSun1+13)=11),NovSun1+13,""),IF(AND(YEAR(NovSun1+20)=CalendarYear,MONTH(NovSun1+20)=11),NovSun1+20,""))</f>
        <v>46346</v>
      </c>
      <c r="X27" s="40">
        <f>IF(DAY(NovSun1)=1,IF(AND(YEAR(NovSun1+14)=CalendarYear,MONTH(NovSun1+14)=11),NovSun1+14,""),IF(AND(YEAR(NovSun1+21)=CalendarYear,MONTH(NovSun1+21)=11),NovSun1+21,""))</f>
        <v>46347</v>
      </c>
      <c r="Y27" s="20"/>
      <c r="Z27" s="40">
        <f>IF(DAY(DecSun1)=1,IF(AND(YEAR(DecSun1+8)=CalendarYear,MONTH(DecSun1+8)=12),DecSun1+8,""),IF(AND(YEAR(DecSun1+15)=CalendarYear,MONTH(DecSun1+15)=12),DecSun1+15,""))</f>
        <v>46369</v>
      </c>
      <c r="AA27" s="40">
        <f>IF(DAY(DecSun1)=1,IF(AND(YEAR(DecSun1+9)=CalendarYear,MONTH(DecSun1+9)=12),DecSun1+9,""),IF(AND(YEAR(DecSun1+16)=CalendarYear,MONTH(DecSun1+16)=12),DecSun1+16,""))</f>
        <v>46370</v>
      </c>
      <c r="AB27" s="41">
        <f>IF(DAY(DecSun1)=1,IF(AND(YEAR(DecSun1+10)=CalendarYear,MONTH(DecSun1+10)=12),DecSun1+10,""),IF(AND(YEAR(DecSun1+17)=CalendarYear,MONTH(DecSun1+17)=12),DecSun1+17,""))</f>
        <v>46371</v>
      </c>
      <c r="AC27" s="41">
        <f>IF(DAY(DecSun1)=1,IF(AND(YEAR(DecSun1+11)=CalendarYear,MONTH(DecSun1+11)=12),DecSun1+11,""),IF(AND(YEAR(DecSun1+18)=CalendarYear,MONTH(DecSun1+18)=12),DecSun1+18,""))</f>
        <v>46372</v>
      </c>
      <c r="AD27" s="44">
        <f>IF(DAY(DecSun1)=1,IF(AND(YEAR(DecSun1+12)=CalendarYear,MONTH(DecSun1+12)=12),DecSun1+12,""),IF(AND(YEAR(DecSun1+19)=CalendarYear,MONTH(DecSun1+19)=12),DecSun1+19,""))</f>
        <v>46373</v>
      </c>
      <c r="AE27" s="44">
        <f>IF(DAY(DecSun1)=1,IF(AND(YEAR(DecSun1+13)=CalendarYear,MONTH(DecSun1+13)=12),DecSun1+13,""),IF(AND(YEAR(DecSun1+20)=CalendarYear,MONTH(DecSun1+20)=12),DecSun1+20,""))</f>
        <v>46374</v>
      </c>
      <c r="AF27" s="40">
        <f>IF(DAY(DecSun1)=1,IF(AND(YEAR(DecSun1+14)=CalendarYear,MONTH(DecSun1+14)=12),DecSun1+14,""),IF(AND(YEAR(DecSun1+21)=CalendarYear,MONTH(DecSun1+21)=12),DecSun1+21,""))</f>
        <v>46375</v>
      </c>
    </row>
    <row r="28" spans="1:32" s="8" customFormat="1" ht="60" customHeight="1" x14ac:dyDescent="0.3">
      <c r="A28" s="20"/>
      <c r="B28" s="119" t="s">
        <v>46</v>
      </c>
      <c r="C28" s="120"/>
      <c r="D28" s="121"/>
      <c r="E28" s="115" t="s">
        <v>47</v>
      </c>
      <c r="F28" s="115"/>
      <c r="G28" s="65">
        <f>IF(DAY(SepSun1)=1,IF(AND(YEAR(SepSun1+20)=CalendarYear,MONTH(SepSun1+20)=9),SepSun1+20,""),IF(AND(YEAR(SepSun1+27)=CalendarYear,MONTH(SepSun1+27)=9),SepSun1+27,""))</f>
        <v>46290</v>
      </c>
      <c r="H28" s="40">
        <v>26</v>
      </c>
      <c r="I28" s="20"/>
      <c r="J28" s="136" t="s">
        <v>48</v>
      </c>
      <c r="K28" s="137"/>
      <c r="L28" s="137"/>
      <c r="M28" s="80">
        <v>21</v>
      </c>
      <c r="N28" s="81">
        <f>IF(DAY(OctSun1)=1,IF(AND(YEAR(OctSun1+19)=CalendarYear,MONTH(OctSun1+19)=10),OctSun1+19,""),IF(AND(YEAR(OctSun1+26)=CalendarYear,MONTH(OctSun1+26)=10),OctSun1+26,""))</f>
        <v>46317</v>
      </c>
      <c r="O28" s="62">
        <f>IF(DAY(OctSun1)=1,IF(AND(YEAR(OctSun1+20)=CalendarYear,MONTH(OctSun1+20)=10),OctSun1+20,""),IF(AND(YEAR(OctSun1+27)=CalendarYear,MONTH(OctSun1+27)=10),OctSun1+27,""))</f>
        <v>46318</v>
      </c>
      <c r="P28" s="57"/>
      <c r="Q28" s="20"/>
      <c r="R28" s="39">
        <f>IF(DAY(NovSun1)=1,IF(AND(YEAR(NovSun1+15)=CalendarYear,MONTH(NovSun1+15)=11),NovSun1+15,""),IF(AND(YEAR(NovSun1+22)=CalendarYear,MONTH(NovSun1+22)=11),NovSun1+22,""))</f>
        <v>46348</v>
      </c>
      <c r="S28" s="39">
        <f>IF(DAY(NovSun1)=1,IF(AND(YEAR(NovSun1+16)=CalendarYear,MONTH(NovSun1+16)=11),NovSun1+16,""),IF(AND(YEAR(NovSun1+23)=CalendarYear,MONTH(NovSun1+23)=11),NovSun1+23,""))</f>
        <v>46349</v>
      </c>
      <c r="T28" s="39">
        <f>IF(DAY(NovSun1)=1,IF(AND(YEAR(NovSun1+17)=CalendarYear,MONTH(NovSun1+17)=11),NovSun1+17,""),IF(AND(YEAR(NovSun1+24)=CalendarYear,MONTH(NovSun1+24)=11),NovSun1+24,""))</f>
        <v>46350</v>
      </c>
      <c r="U28" s="40">
        <f>IF(DAY(NovSun1)=1,IF(AND(YEAR(NovSun1+18)=CalendarYear,MONTH(NovSun1+18)=11),NovSun1+18,""),IF(AND(YEAR(NovSun1+25)=CalendarYear,MONTH(NovSun1+25)=11),NovSun1+25,""))</f>
        <v>46351</v>
      </c>
      <c r="V28" s="42">
        <f>IF(DAY(NovSun1)=1,IF(AND(YEAR(NovSun1+19)=CalendarYear,MONTH(NovSun1+19)=11),NovSun1+19,""),IF(AND(YEAR(NovSun1+26)=CalendarYear,MONTH(NovSun1+26)=11),NovSun1+26,""))</f>
        <v>46352</v>
      </c>
      <c r="W28" s="40">
        <f>IF(DAY(NovSun1)=1,IF(AND(YEAR(NovSun1+20)=CalendarYear,MONTH(NovSun1+20)=11),NovSun1+20,""),IF(AND(YEAR(NovSun1+27)=CalendarYear,MONTH(NovSun1+27)=11),NovSun1+27,""))</f>
        <v>46353</v>
      </c>
      <c r="X28" s="40">
        <f>IF(DAY(NovSun1)=1,IF(AND(YEAR(NovSun1+21)=CalendarYear,MONTH(NovSun1+21)=11),NovSun1+21,""),IF(AND(YEAR(NovSun1+28)=CalendarYear,MONTH(NovSun1+28)=11),NovSun1+28,""))</f>
        <v>46354</v>
      </c>
      <c r="Y28" s="20"/>
      <c r="Z28" s="39">
        <f>IF(DAY(DecSun1)=1,IF(AND(YEAR(DecSun1+15)=CalendarYear,MONTH(DecSun1+15)=12),DecSun1+15,""),IF(AND(YEAR(DecSun1+22)=CalendarYear,MONTH(DecSun1+22)=12),DecSun1+22,""))</f>
        <v>46376</v>
      </c>
      <c r="AA28" s="39">
        <f>IF(DAY(DecSun1)=1,IF(AND(YEAR(DecSun1+16)=CalendarYear,MONTH(DecSun1+16)=12),DecSun1+16,""),IF(AND(YEAR(DecSun1+23)=CalendarYear,MONTH(DecSun1+23)=12),DecSun1+23,""))</f>
        <v>46377</v>
      </c>
      <c r="AB28" s="39">
        <f>IF(DAY(DecSun1)=1,IF(AND(YEAR(DecSun1+17)=CalendarYear,MONTH(DecSun1+17)=12),DecSun1+17,""),IF(AND(YEAR(DecSun1+24)=CalendarYear,MONTH(DecSun1+24)=12),DecSun1+24,""))</f>
        <v>46378</v>
      </c>
      <c r="AC28" s="40">
        <f>IF(DAY(DecSun1)=1,IF(AND(YEAR(DecSun1+18)=CalendarYear,MONTH(DecSun1+18)=12),DecSun1+18,""),IF(AND(YEAR(DecSun1+25)=CalendarYear,MONTH(DecSun1+25)=12),DecSun1+25,""))</f>
        <v>46379</v>
      </c>
      <c r="AD28" s="42">
        <f>IF(DAY(DecSun1)=1,IF(AND(YEAR(DecSun1+19)=CalendarYear,MONTH(DecSun1+19)=12),DecSun1+19,""),IF(AND(YEAR(DecSun1+26)=CalendarYear,MONTH(DecSun1+26)=12),DecSun1+26,""))</f>
        <v>46380</v>
      </c>
      <c r="AE28" s="40">
        <f>IF(DAY(DecSun1)=1,IF(AND(YEAR(DecSun1+20)=CalendarYear,MONTH(DecSun1+20)=12),DecSun1+20,""),IF(AND(YEAR(DecSun1+27)=CalendarYear,MONTH(DecSun1+27)=12),DecSun1+27,""))</f>
        <v>46381</v>
      </c>
      <c r="AF28" s="40">
        <f>IF(DAY(DecSun1)=1,IF(AND(YEAR(DecSun1+21)=CalendarYear,MONTH(DecSun1+21)=12),DecSun1+21,""),IF(AND(YEAR(DecSun1+28)=CalendarYear,MONTH(DecSun1+28)=12),DecSun1+28,""))</f>
        <v>46382</v>
      </c>
    </row>
    <row r="29" spans="1:32" s="8" customFormat="1" ht="60" customHeight="1" x14ac:dyDescent="0.3">
      <c r="A29" s="20"/>
      <c r="B29" s="52">
        <v>27</v>
      </c>
      <c r="C29" s="52">
        <v>28</v>
      </c>
      <c r="D29" s="52">
        <v>29</v>
      </c>
      <c r="E29" s="66">
        <f>IF(DAY(SepSun1)=1,IF(AND(YEAR(SepSun1+25)=CalendarYear,MONTH(SepSun1+25)=9),SepSun1+25,""),IF(AND(YEAR(SepSun1+32)=CalendarYear,MONTH(SepSun1+32)=9),SepSun1+32,""))</f>
        <v>46295</v>
      </c>
      <c r="F29" s="66" t="str">
        <f>IF(DAY(SepSun1)=1,IF(AND(YEAR(SepSun1+26)=CalendarYear,MONTH(SepSun1+26)=9),SepSun1+26,""),IF(AND(YEAR(SepSun1+33)=CalendarYear,MONTH(SepSun1+33)=9),SepSun1+33,""))</f>
        <v/>
      </c>
      <c r="G29" s="37" t="str">
        <f>IF(DAY(SepSun1)=1,IF(AND(YEAR(SepSun1+27)=CalendarYear,MONTH(SepSun1+27)=9),SepSun1+27,""),IF(AND(YEAR(SepSun1+34)=CalendarYear,MONTH(SepSun1+34)=9),SepSun1+34,""))</f>
        <v/>
      </c>
      <c r="H29" s="37" t="str">
        <f>IF(DAY(SepSun1)=1,IF(AND(YEAR(SepSun1+28)=CalendarYear,MONTH(SepSun1+28)=9),SepSun1+28,""),IF(AND(YEAR(SepSun1+35)=CalendarYear,MONTH(SepSun1+35)=9),SepSun1+35,""))</f>
        <v/>
      </c>
      <c r="I29" s="20"/>
      <c r="J29" s="87" t="s">
        <v>49</v>
      </c>
      <c r="K29" s="89" t="s">
        <v>19</v>
      </c>
      <c r="L29" s="90"/>
      <c r="M29" s="83" t="s">
        <v>50</v>
      </c>
      <c r="N29" s="86" t="s">
        <v>19</v>
      </c>
      <c r="O29" s="88" t="s">
        <v>51</v>
      </c>
      <c r="P29" s="63">
        <v>31</v>
      </c>
      <c r="Q29" s="20"/>
      <c r="R29" s="41">
        <f>IF(DAY(NovSun1)=1,IF(AND(YEAR(NovSun1+22)=CalendarYear,MONTH(NovSun1+22)=11),NovSun1+22,""),IF(AND(YEAR(NovSun1+29)=CalendarYear,MONTH(NovSun1+29)=11),NovSun1+29,""))</f>
        <v>46355</v>
      </c>
      <c r="S29" s="41">
        <f>IF(DAY(NovSun1)=1,IF(AND(YEAR(NovSun1+23)=CalendarYear,MONTH(NovSun1+23)=11),NovSun1+23,""),IF(AND(YEAR(NovSun1+30)=CalendarYear,MONTH(NovSun1+30)=11),NovSun1+30,""))</f>
        <v>46356</v>
      </c>
      <c r="T29" s="43" t="str">
        <f>IF(DAY(NovSun1)=1,IF(AND(YEAR(NovSun1+24)=CalendarYear,MONTH(NovSun1+24)=11),NovSun1+24,""),IF(AND(YEAR(NovSun1+31)=CalendarYear,MONTH(NovSun1+31)=11),NovSun1+31,""))</f>
        <v/>
      </c>
      <c r="U29" s="43" t="str">
        <f>IF(DAY(NovSun1)=1,IF(AND(YEAR(NovSun1+25)=CalendarYear,MONTH(NovSun1+25)=11),NovSun1+25,""),IF(AND(YEAR(NovSun1+32)=CalendarYear,MONTH(NovSun1+32)=11),NovSun1+32,""))</f>
        <v/>
      </c>
      <c r="V29" s="38" t="str">
        <f>IF(DAY(NovSun1)=1,IF(AND(YEAR(NovSun1+26)=CalendarYear,MONTH(NovSun1+26)=11),NovSun1+26,""),IF(AND(YEAR(NovSun1+33)=CalendarYear,MONTH(NovSun1+33)=11),NovSun1+33,""))</f>
        <v/>
      </c>
      <c r="W29" s="37" t="str">
        <f>IF(DAY(NovSun1)=1,IF(AND(YEAR(NovSun1+27)=CalendarYear,MONTH(NovSun1+27)=11),NovSun1+27,""),IF(AND(YEAR(NovSun1+34)=CalendarYear,MONTH(NovSun1+34)=11),NovSun1+34,""))</f>
        <v/>
      </c>
      <c r="X29" s="37" t="str">
        <f>IF(DAY(NovSun1)=1,IF(AND(YEAR(NovSun1+28)=CalendarYear,MONTH(NovSun1+28)=11),NovSun1+28,""),IF(AND(YEAR(NovSun1+35)=CalendarYear,MONTH(NovSun1+35)=11),NovSun1+35,""))</f>
        <v/>
      </c>
      <c r="Y29" s="20"/>
      <c r="Z29" s="41">
        <f>IF(DAY(DecSun1)=1,IF(AND(YEAR(DecSun1+22)=CalendarYear,MONTH(DecSun1+22)=12),DecSun1+22,""),IF(AND(YEAR(DecSun1+29)=CalendarYear,MONTH(DecSun1+29)=12),DecSun1+29,""))</f>
        <v>46383</v>
      </c>
      <c r="AA29" s="41">
        <f>IF(DAY(DecSun1)=1,IF(AND(YEAR(DecSun1+23)=CalendarYear,MONTH(DecSun1+23)=12),DecSun1+23,""),IF(AND(YEAR(DecSun1+30)=CalendarYear,MONTH(DecSun1+30)=12),DecSun1+30,""))</f>
        <v>46384</v>
      </c>
      <c r="AB29" s="43">
        <f>IF(DAY(DecSun1)=1,IF(AND(YEAR(DecSun1+24)=CalendarYear,MONTH(DecSun1+24)=12),DecSun1+24,""),IF(AND(YEAR(DecSun1+31)=CalendarYear,MONTH(DecSun1+31)=12),DecSun1+31,""))</f>
        <v>46385</v>
      </c>
      <c r="AC29" s="43">
        <f>IF(DAY(DecSun1)=1,IF(AND(YEAR(DecSun1+25)=CalendarYear,MONTH(DecSun1+25)=12),DecSun1+25,""),IF(AND(YEAR(DecSun1+32)=CalendarYear,MONTH(DecSun1+32)=12),DecSun1+32,""))</f>
        <v>46386</v>
      </c>
      <c r="AD29" s="43">
        <f>IF(DAY(DecSun1)=1,IF(AND(YEAR(DecSun1+26)=CalendarYear,MONTH(DecSun1+26)=12),DecSun1+26,""),IF(AND(YEAR(DecSun1+33)=CalendarYear,MONTH(DecSun1+33)=12),DecSun1+33,""))</f>
        <v>46387</v>
      </c>
      <c r="AE29" s="37" t="str">
        <f>IF(DAY(DecSun1)=1,IF(AND(YEAR(DecSun1+27)=CalendarYear,MONTH(DecSun1+27)=12),DecSun1+27,""),IF(AND(YEAR(DecSun1+34)=CalendarYear,MONTH(DecSun1+34)=12),DecSun1+34,""))</f>
        <v/>
      </c>
      <c r="AF29" s="37" t="str">
        <f>IF(DAY(DecSun1)=1,IF(AND(YEAR(DecSun1+28)=CalendarYear,MONTH(DecSun1+28)=12),DecSun1+28,""),IF(AND(YEAR(DecSun1+35)=CalendarYear,MONTH(DecSun1+35)=12),DecSun1+35,""))</f>
        <v/>
      </c>
    </row>
    <row r="30" spans="1:32" s="8" customFormat="1" ht="60" customHeight="1" x14ac:dyDescent="0.3">
      <c r="A30" s="20"/>
      <c r="B30" s="41" t="str">
        <f>IF(DAY(SepSun1)=1,IF(AND(YEAR(SepSun1+29)=CalendarYear,MONTH(SepSun1+29)=9),SepSun1+29,""),IF(AND(YEAR(SepSun1+36)=CalendarYear,MONTH(SepSun1+36)=9),SepSun1+36,""))</f>
        <v/>
      </c>
      <c r="C30" s="41" t="str">
        <f>IF(DAY(SepSun1)=1,IF(AND(YEAR(SepSun1+30)=CalendarYear,MONTH(SepSun1+30)=9),SepSun1+30,""),IF(AND(YEAR(SepSun1+37)=CalendarYear,MONTH(SepSun1+37)=9),SepSun1+37,""))</f>
        <v/>
      </c>
      <c r="D30" s="43" t="str">
        <f>IF(DAY(SepSun1)=1,IF(AND(YEAR(SepSun1+31)=CalendarYear,MONTH(SepSun1+31)=9),SepSun1+31,""),IF(AND(YEAR(SepSun1+38)=CalendarYear,MONTH(SepSun1+38)=9),SepSun1+38,""))</f>
        <v/>
      </c>
      <c r="E30" s="43" t="str">
        <f>IF(DAY(SepSun1)=1,IF(AND(YEAR(SepSun1+32)=CalendarYear,MONTH(SepSun1+32)=9),SepSun1+32,""),IF(AND(YEAR(SepSun1+39)=CalendarYear,MONTH(SepSun1+39)=9),SepSun1+39,""))</f>
        <v/>
      </c>
      <c r="F30" s="43" t="str">
        <f>IF(DAY(SepSun1)=1,IF(AND(YEAR(SepSun1+33)=CalendarYear,MONTH(SepSun1+33)=9),SepSun1+33,""),IF(AND(YEAR(SepSun1+40)=CalendarYear,MONTH(SepSun1+40)=9),SepSun1+40,""))</f>
        <v/>
      </c>
      <c r="G30" s="37" t="str">
        <f>IF(DAY(SepSun1)=1,IF(AND(YEAR(SepSun1+34)=CalendarYear,MONTH(SepSun1+34)=9),SepSun1+34,""),IF(AND(YEAR(SepSun1+41)=CalendarYear,MONTH(SepSun1+41)=9),SepSun1+41,""))</f>
        <v/>
      </c>
      <c r="H30" s="37" t="str">
        <f>IF(DAY(SepSun1)=1,IF(AND(YEAR(SepSun1+35)=CalendarYear,MONTH(SepSun1+35)=9),SepSun1+35,""),IF(AND(YEAR(SepSun1+42)=CalendarYear,MONTH(SepSun1+42)=9),SepSun1+42,""))</f>
        <v/>
      </c>
      <c r="I30" s="20"/>
      <c r="J30" s="53" t="str">
        <f>IF(DAY(OctSun1)=1,IF(AND(YEAR(OctSun1+29)=CalendarYear,MONTH(OctSun1+29)=10),OctSun1+29,""),IF(AND(YEAR(OctSun1+36)=CalendarYear,MONTH(OctSun1+36)=10),OctSun1+36,""))</f>
        <v/>
      </c>
      <c r="K30" s="53" t="str">
        <f>IF(DAY(OctSun1)=1,IF(AND(YEAR(OctSun1+30)=CalendarYear,MONTH(OctSun1+30)=10),OctSun1+30,""),IF(AND(YEAR(OctSun1+37)=CalendarYear,MONTH(OctSun1+37)=10),OctSun1+37,""))</f>
        <v/>
      </c>
      <c r="L30" s="60" t="str">
        <f>IF(DAY(OctSun1)=1,IF(AND(YEAR(OctSun1+31)=CalendarYear,MONTH(OctSun1+31)=10),OctSun1+31,""),IF(AND(YEAR(OctSun1+38)=CalendarYear,MONTH(OctSun1+38)=10),OctSun1+38,""))</f>
        <v/>
      </c>
      <c r="M30" s="59" t="str">
        <f>IF(DAY(OctSun1)=1,IF(AND(YEAR(OctSun1+32)=CalendarYear,MONTH(OctSun1+32)=10),OctSun1+32,""),IF(AND(YEAR(OctSun1+39)=CalendarYear,MONTH(OctSun1+39)=10),OctSun1+39,""))</f>
        <v/>
      </c>
      <c r="N30" s="59" t="str">
        <f>IF(DAY(OctSun1)=1,IF(AND(YEAR(OctSun1+33)=CalendarYear,MONTH(OctSun1+33)=10),OctSun1+33,""),IF(AND(YEAR(OctSun1+40)=CalendarYear,MONTH(OctSun1+40)=10),OctSun1+40,""))</f>
        <v/>
      </c>
      <c r="O30" s="59" t="str">
        <f>IF(DAY(OctSun1)=1,IF(AND(YEAR(OctSun1+33)=CalendarYear,MONTH(OctSun1+33)=10),OctSun1+33,""),IF(AND(YEAR(OctSun1+40)=CalendarYear,MONTH(OctSun1+40)=10),OctSun1+40,""))</f>
        <v/>
      </c>
      <c r="P30" s="37" t="str">
        <f>IF(DAY(OctSun1)=1,IF(AND(YEAR(OctSun1+35)=CalendarYear,MONTH(OctSun1+35)=10),OctSun1+35,""),IF(AND(YEAR(OctSun1+42)=CalendarYear,MONTH(OctSun1+42)=10),OctSun1+42,""))</f>
        <v/>
      </c>
      <c r="Q30" s="20"/>
      <c r="R30" s="41" t="str">
        <f>IF(DAY(NovSun1)=1,IF(AND(YEAR(NovSun1+29)=CalendarYear,MONTH(NovSun1+29)=11),NovSun1+29,""),IF(AND(YEAR(NovSun1+36)=CalendarYear,MONTH(NovSun1+36)=11),NovSun1+36,""))</f>
        <v/>
      </c>
      <c r="S30" s="41" t="str">
        <f>IF(DAY(NovSun1)=1,IF(AND(YEAR(NovSun1+30)=CalendarYear,MONTH(NovSun1+30)=11),NovSun1+30,""),IF(AND(YEAR(NovSun1+37)=CalendarYear,MONTH(NovSun1+37)=11),NovSun1+37,""))</f>
        <v/>
      </c>
      <c r="T30" s="43" t="str">
        <f>IF(DAY(NovSun1)=1,IF(AND(YEAR(NovSun1+31)=CalendarYear,MONTH(NovSun1+31)=11),NovSun1+31,""),IF(AND(YEAR(NovSun1+38)=CalendarYear,MONTH(NovSun1+38)=11),NovSun1+38,""))</f>
        <v/>
      </c>
      <c r="U30" s="43" t="str">
        <f>IF(DAY(NovSun1)=1,IF(AND(YEAR(NovSun1+32)=CalendarYear,MONTH(NovSun1+32)=11),NovSun1+32,""),IF(AND(YEAR(NovSun1+39)=CalendarYear,MONTH(NovSun1+39)=11),NovSun1+39,""))</f>
        <v/>
      </c>
      <c r="V30" s="43" t="str">
        <f>IF(DAY(NovSun1)=1,IF(AND(YEAR(NovSun1+33)=CalendarYear,MONTH(NovSun1+33)=11),NovSun1+33,""),IF(AND(YEAR(NovSun1+40)=CalendarYear,MONTH(NovSun1+40)=11),NovSun1+40,""))</f>
        <v/>
      </c>
      <c r="W30" s="37" t="str">
        <f>IF(DAY(NovSun1)=1,IF(AND(YEAR(NovSun1+34)=CalendarYear,MONTH(NovSun1+34)=11),NovSun1+34,""),IF(AND(YEAR(NovSun1+41)=CalendarYear,MONTH(NovSun1+41)=11),NovSun1+41,""))</f>
        <v/>
      </c>
      <c r="X30" s="37" t="str">
        <f>IF(DAY(NovSun1)=1,IF(AND(YEAR(NovSun1+35)=CalendarYear,MONTH(NovSun1+35)=11),NovSun1+35,""),IF(AND(YEAR(NovSun1+42)=CalendarYear,MONTH(NovSun1+42)=11),NovSun1+42,""))</f>
        <v/>
      </c>
      <c r="Y30" s="20"/>
      <c r="Z30" s="41" t="str">
        <f>IF(DAY(DecSun1)=1,IF(AND(YEAR(DecSun1+29)=CalendarYear,MONTH(DecSun1+29)=12),DecSun1+29,""),IF(AND(YEAR(DecSun1+36)=CalendarYear,MONTH(DecSun1+36)=12),DecSun1+36,""))</f>
        <v/>
      </c>
      <c r="AA30" s="41" t="str">
        <f>IF(DAY(DecSun1)=1,IF(AND(YEAR(DecSun1+30)=CalendarYear,MONTH(DecSun1+30)=12),DecSun1+30,""),IF(AND(YEAR(DecSun1+37)=CalendarYear,MONTH(DecSun1+37)=12),DecSun1+37,""))</f>
        <v/>
      </c>
      <c r="AB30" s="43" t="str">
        <f>IF(DAY(DecSun1)=1,IF(AND(YEAR(DecSun1+31)=CalendarYear,MONTH(DecSun1+31)=12),DecSun1+31,""),IF(AND(YEAR(DecSun1+38)=CalendarYear,MONTH(DecSun1+38)=12),DecSun1+38,""))</f>
        <v/>
      </c>
      <c r="AC30" s="43" t="str">
        <f>IF(DAY(DecSun1)=1,IF(AND(YEAR(DecSun1+32)=CalendarYear,MONTH(DecSun1+32)=12),DecSun1+32,""),IF(AND(YEAR(DecSun1+39)=CalendarYear,MONTH(DecSun1+39)=12),DecSun1+39,""))</f>
        <v/>
      </c>
      <c r="AD30" s="43" t="str">
        <f>IF(DAY(DecSun1)=1,IF(AND(YEAR(DecSun1+33)=CalendarYear,MONTH(DecSun1+33)=12),DecSun1+33,""),IF(AND(YEAR(DecSun1+40)=CalendarYear,MONTH(DecSun1+40)=12),DecSun1+40,""))</f>
        <v/>
      </c>
      <c r="AE30" s="37" t="str">
        <f>IF(DAY(DecSun1)=1,IF(AND(YEAR(DecSun1+34)=CalendarYear,MONTH(DecSun1+34)=12),DecSun1+34,""),IF(AND(YEAR(DecSun1+41)=CalendarYear,MONTH(DecSun1+41)=12),DecSun1+41,""))</f>
        <v/>
      </c>
      <c r="AF30" s="37" t="str">
        <f>IF(DAY(DecSun1)=1,IF(AND(YEAR(DecSun1+35)=CalendarYear,MONTH(DecSun1+35)=12),DecSun1+35,""),IF(AND(YEAR(DecSun1+42)=CalendarYear,MONTH(DecSun1+42)=12),DecSun1+42,""))</f>
        <v/>
      </c>
    </row>
    <row r="31" spans="1:32" s="7" customFormat="1" ht="60" customHeight="1" x14ac:dyDescent="0.3"/>
    <row r="32" spans="1:32" ht="60" customHeight="1" x14ac:dyDescent="0.35">
      <c r="B32" s="26"/>
      <c r="C32"/>
      <c r="D32"/>
    </row>
    <row r="33" spans="2:14" ht="60" customHeight="1" x14ac:dyDescent="0.3">
      <c r="B33" s="29"/>
      <c r="C33"/>
      <c r="D33"/>
      <c r="H33" s="31"/>
      <c r="I33" s="33"/>
      <c r="J33" s="31"/>
      <c r="K33" s="32"/>
      <c r="L33" s="32"/>
      <c r="M33" s="31"/>
      <c r="N33" s="31"/>
    </row>
    <row r="34" spans="2:14" ht="60" customHeight="1" x14ac:dyDescent="0.3">
      <c r="B34"/>
      <c r="C34"/>
      <c r="D34"/>
    </row>
    <row r="35" spans="2:14" ht="60" customHeight="1" x14ac:dyDescent="0.3">
      <c r="B35" s="29"/>
      <c r="C35"/>
      <c r="D35"/>
    </row>
    <row r="36" spans="2:14" ht="60" customHeight="1" x14ac:dyDescent="0.3">
      <c r="B36"/>
      <c r="C36"/>
      <c r="D36"/>
    </row>
    <row r="37" spans="2:14" ht="60" customHeight="1" x14ac:dyDescent="0.3">
      <c r="B37"/>
      <c r="C37"/>
      <c r="D37"/>
    </row>
    <row r="38" spans="2:14" ht="60" customHeight="1" x14ac:dyDescent="0.35">
      <c r="B38" s="26"/>
      <c r="C38"/>
      <c r="D38"/>
    </row>
    <row r="39" spans="2:14" ht="60" customHeight="1" x14ac:dyDescent="0.3">
      <c r="B39"/>
      <c r="C39"/>
      <c r="D39"/>
    </row>
    <row r="40" spans="2:14" ht="60" customHeight="1" x14ac:dyDescent="0.3">
      <c r="B40"/>
      <c r="C40"/>
      <c r="D40"/>
    </row>
    <row r="41" spans="2:14" ht="60" customHeight="1" x14ac:dyDescent="0.35">
      <c r="B41" s="26"/>
      <c r="C41"/>
      <c r="D41"/>
    </row>
    <row r="42" spans="2:14" ht="60" customHeight="1" x14ac:dyDescent="0.3">
      <c r="B42"/>
      <c r="C42"/>
      <c r="D42"/>
    </row>
    <row r="43" spans="2:14" ht="60" customHeight="1" x14ac:dyDescent="0.3">
      <c r="B43"/>
      <c r="C43"/>
      <c r="D43"/>
    </row>
    <row r="44" spans="2:14" ht="60" customHeight="1" x14ac:dyDescent="0.35">
      <c r="B44" s="26"/>
      <c r="C44"/>
      <c r="D44"/>
    </row>
    <row r="45" spans="2:14" ht="60" customHeight="1" x14ac:dyDescent="0.3">
      <c r="B45"/>
      <c r="C45"/>
      <c r="D45"/>
    </row>
    <row r="46" spans="2:14" ht="60" customHeight="1" x14ac:dyDescent="0.3">
      <c r="B46"/>
      <c r="C46"/>
      <c r="D46"/>
    </row>
    <row r="47" spans="2:14" ht="60" customHeight="1" x14ac:dyDescent="0.3">
      <c r="B47"/>
      <c r="C47"/>
      <c r="D47"/>
    </row>
    <row r="48" spans="2:14" ht="60" customHeight="1" x14ac:dyDescent="0.3">
      <c r="B48"/>
      <c r="C48"/>
      <c r="D48"/>
    </row>
    <row r="49" spans="2:4" ht="60" customHeight="1" x14ac:dyDescent="0.35">
      <c r="B49" s="26"/>
      <c r="C49"/>
      <c r="D49"/>
    </row>
    <row r="50" spans="2:4" ht="60" customHeight="1" x14ac:dyDescent="0.3">
      <c r="B50"/>
    </row>
    <row r="51" spans="2:4" ht="60" customHeight="1" x14ac:dyDescent="0.35">
      <c r="B51" s="26"/>
    </row>
    <row r="52" spans="2:4" ht="60" customHeight="1" x14ac:dyDescent="0.3">
      <c r="B52"/>
    </row>
    <row r="53" spans="2:4" ht="60" customHeight="1" x14ac:dyDescent="0.3">
      <c r="B53"/>
    </row>
    <row r="54" spans="2:4" ht="60" customHeight="1" x14ac:dyDescent="0.3">
      <c r="B54"/>
    </row>
    <row r="55" spans="2:4" ht="60" customHeight="1" x14ac:dyDescent="0.3">
      <c r="B55"/>
    </row>
    <row r="56" spans="2:4" ht="60" customHeight="1" x14ac:dyDescent="0.3">
      <c r="B56"/>
    </row>
    <row r="57" spans="2:4" ht="60" customHeight="1" x14ac:dyDescent="0.3">
      <c r="B57"/>
    </row>
    <row r="58" spans="2:4" ht="60" customHeight="1" x14ac:dyDescent="0.3">
      <c r="B58"/>
    </row>
    <row r="59" spans="2:4" ht="60" customHeight="1" x14ac:dyDescent="0.3">
      <c r="B59"/>
    </row>
    <row r="60" spans="2:4" ht="60" customHeight="1" x14ac:dyDescent="0.3">
      <c r="B60"/>
    </row>
    <row r="61" spans="2:4" ht="60" customHeight="1" x14ac:dyDescent="0.3">
      <c r="B61"/>
    </row>
    <row r="62" spans="2:4" ht="60" customHeight="1" x14ac:dyDescent="0.3">
      <c r="B62"/>
    </row>
    <row r="63" spans="2:4" ht="60" customHeight="1" x14ac:dyDescent="0.3">
      <c r="B63"/>
    </row>
  </sheetData>
  <mergeCells count="39">
    <mergeCell ref="D9:E9"/>
    <mergeCell ref="AC19:AD19"/>
    <mergeCell ref="AE19:AF19"/>
    <mergeCell ref="Z19:AB19"/>
    <mergeCell ref="E28:F28"/>
    <mergeCell ref="B28:D28"/>
    <mergeCell ref="E20:F20"/>
    <mergeCell ref="B20:D20"/>
    <mergeCell ref="C19:E19"/>
    <mergeCell ref="AA9:AE9"/>
    <mergeCell ref="Z20:AE20"/>
    <mergeCell ref="K26:O26"/>
    <mergeCell ref="O27:P27"/>
    <mergeCell ref="J28:L28"/>
    <mergeCell ref="AC1:AF1"/>
    <mergeCell ref="Z23:AF23"/>
    <mergeCell ref="B23:H23"/>
    <mergeCell ref="J23:P23"/>
    <mergeCell ref="R23:X23"/>
    <mergeCell ref="B5:H5"/>
    <mergeCell ref="J5:P5"/>
    <mergeCell ref="R5:X5"/>
    <mergeCell ref="Z5:AF5"/>
    <mergeCell ref="B14:H14"/>
    <mergeCell ref="J14:P14"/>
    <mergeCell ref="R14:X14"/>
    <mergeCell ref="Z14:AF14"/>
    <mergeCell ref="AB10:AD10"/>
    <mergeCell ref="Z18:AD18"/>
    <mergeCell ref="AB8:AD8"/>
    <mergeCell ref="K29:L29"/>
    <mergeCell ref="K8:P8"/>
    <mergeCell ref="R7:U7"/>
    <mergeCell ref="T18:V18"/>
    <mergeCell ref="L7:M7"/>
    <mergeCell ref="R19:U19"/>
    <mergeCell ref="M9:N9"/>
    <mergeCell ref="M19:N19"/>
    <mergeCell ref="T10:U10"/>
  </mergeCells>
  <phoneticPr fontId="1" type="noConversion"/>
  <conditionalFormatting sqref="B7:K8 L7 V7:AF7 AE8:AF8 B9:D9 G9:M9 O9:AA9 AF9 B10:AF10 B11:M11 B12:AF13 I14:I15 Q14:Q15 Y14:Y15 B16:AF17 B18:T18 W18:Z18 AE18:AF18 V19:Z19 B20 H20:Z20 AF20 B21:AF21 B22:N22 P22:AF22 I23:I24 Q23:Q24 Y23:Y24 B25:AF25 B26:K26 P26:AF26 B27:O27 Q27:AF27 B28 B29:K29 N29:AF29 B30:AF30">
    <cfRule type="containsBlanks" priority="70" stopIfTrue="1">
      <formula>LEN(TRIM(B7))=0</formula>
    </cfRule>
  </conditionalFormatting>
  <conditionalFormatting sqref="G28:J28 M28:AF28">
    <cfRule type="containsBlanks" priority="42" stopIfTrue="1">
      <formula>LEN(TRIM(G28))=0</formula>
    </cfRule>
    <cfRule type="expression" dxfId="17" priority="43">
      <formula>COUNTIF(OtherDate, G28:AK51)</formula>
    </cfRule>
    <cfRule type="expression" dxfId="16" priority="44">
      <formula>COUNTIF(TrainingDate, G28:AK51)</formula>
    </cfRule>
    <cfRule type="expression" dxfId="15" priority="45">
      <formula>COUNTIF(EventDate, G28:AK51)</formula>
    </cfRule>
  </conditionalFormatting>
  <conditionalFormatting sqref="K8:P8">
    <cfRule type="iconSet" priority="29">
      <iconSet iconSet="3Symbols2">
        <cfvo type="percent" val="0"/>
        <cfvo type="percent" val="33"/>
        <cfvo type="percent" val="67"/>
      </iconSet>
    </cfRule>
  </conditionalFormatting>
  <conditionalFormatting sqref="L7 V7:AF7 B7:K8 AE8:AF8 B9:D9 G9:M9 O9:AA9 AF9 B10:AF10 B11:M11 B12:AF13 I14:I15 Q14:Q15 Y14:Y15 B16:AF17 B18:T18 W18:Z18 AE18:AF18 V19:Z19 B20 H20:Z20 AF20 B21:AF21 B22:N22 Q22:AF22 I23:I24 Q23:Q24 Y23:Y24 B25:AF25 B26:K26 P26:AF26 B27:O27 Q27:AF27 B28 B29:K29 N29:AF29 B30:AF30">
    <cfRule type="expression" dxfId="14" priority="74">
      <formula>COUNTIF(OtherDate, B7:AF30)</formula>
    </cfRule>
    <cfRule type="expression" dxfId="13" priority="75">
      <formula>COUNTIF(TrainingDate, B7:AF30)</formula>
    </cfRule>
    <cfRule type="expression" dxfId="12" priority="76">
      <formula>COUNTIF(EventDate, B7:AF30)</formula>
    </cfRule>
  </conditionalFormatting>
  <conditionalFormatting sqref="N7:R7 O11:AF11 C19 G19:R19">
    <cfRule type="containsBlanks" priority="1" stopIfTrue="1">
      <formula>LEN(TRIM(C7))=0</formula>
    </cfRule>
    <cfRule type="expression" dxfId="11" priority="2">
      <formula>COUNTIF(OtherDate, C7:AG30)</formula>
    </cfRule>
    <cfRule type="expression" dxfId="10" priority="3">
      <formula>COUNTIF(TrainingDate, C7:AG30)</formula>
    </cfRule>
    <cfRule type="expression" dxfId="9" priority="4">
      <formula>COUNTIF(EventDate, C7:AG30)</formula>
    </cfRule>
  </conditionalFormatting>
  <conditionalFormatting sqref="P22">
    <cfRule type="expression" dxfId="8" priority="129">
      <formula>COUNTIF(OtherDate, O22:AS45)</formula>
    </cfRule>
    <cfRule type="expression" dxfId="7" priority="130">
      <formula>COUNTIF(TrainingDate, O22:AS45)</formula>
    </cfRule>
    <cfRule type="expression" dxfId="6" priority="131">
      <formula>COUNTIF(EventDate, O22:AS45)</formula>
    </cfRule>
  </conditionalFormatting>
  <conditionalFormatting sqref="Q8:AB8">
    <cfRule type="containsBlanks" priority="34" stopIfTrue="1">
      <formula>LEN(TRIM(Q8))=0</formula>
    </cfRule>
    <cfRule type="expression" dxfId="5" priority="35">
      <formula>COUNTIF(OtherDate, Q8:AU31)</formula>
    </cfRule>
    <cfRule type="expression" dxfId="4" priority="36">
      <formula>COUNTIF(TrainingDate, Q8:AU31)</formula>
    </cfRule>
    <cfRule type="expression" dxfId="3" priority="37">
      <formula>COUNTIF(EventDate, Q8:AU31)</formula>
    </cfRule>
  </conditionalFormatting>
  <conditionalFormatting sqref="AE19">
    <cfRule type="containsBlanks" priority="17" stopIfTrue="1">
      <formula>LEN(TRIM(AE19))=0</formula>
    </cfRule>
    <cfRule type="expression" dxfId="2" priority="18">
      <formula>COUNTIF(OtherDate, AE19:BI42)</formula>
    </cfRule>
    <cfRule type="expression" dxfId="1" priority="19">
      <formula>COUNTIF(TrainingDate, AE19:BI42)</formula>
    </cfRule>
    <cfRule type="expression" dxfId="0" priority="20">
      <formula>COUNTIF(EventDate, AE19:BI42)</formula>
    </cfRule>
  </conditionalFormatting>
  <dataValidations xWindow="861" yWindow="555" count="35">
    <dataValidation allowBlank="1" showErrorMessage="1" sqref="N10:N11 S26:V26 AE18:AF18 K10:M10 O10:P10 G16 D17:F17 B18:G18 D27:E27 L16:O16 K17:L17 V19 S17:W17 C9 M28 Z17:AE17 L19" xr:uid="{085B2463-883B-42B3-85B3-D821F7E5BF95}"/>
    <dataValidation allowBlank="1" showInputMessage="1" showErrorMessage="1" promptTitle="FBI IGG Training #2" prompt="April 28 - May 2, 2025_x000a_Sacramento, CA_x000a_https://www.sakitta.org/newsandevents/event-data/2025-03-17/index.cfm" sqref="F16" xr:uid="{6F9ED8AF-86CD-4D71-B873-80259695A429}"/>
    <dataValidation allowBlank="1" showInputMessage="1" showErrorMessage="1" promptTitle="SWGDAM Regular Meeting" prompt="January 13-15, 2026_x000a_Virtual _x000a_https://www.swgdam.org/_x000a_" sqref="D9:E9" xr:uid="{788BA990-4728-4726-9DE3-E6FA8E253949}"/>
    <dataValidation allowBlank="1" showInputMessage="1" showErrorMessage="1" promptTitle="SWGDAM Regular Meeting" prompt="July 14-16, 2026_x000a_Virtual _x000a_https://www.swgdam.org/_x000a_" sqref="T18:V18" xr:uid="{BD696140-580D-4795-845D-F0B3B9A57CF5}"/>
    <dataValidation allowBlank="1" showInputMessage="1" showErrorMessage="1" promptTitle="NDAA Prosecutor Advocacy" prompt="February 3-4, 2026_x000a_Washington, DC_x000a_https://www.ndaa.org/events/26prosecutor-advocacy-conference" sqref="L7:M7" xr:uid="{A4F3F259-1444-476F-A5DC-194E19CB24BE}"/>
    <dataValidation allowBlank="1" showInputMessage="1" showErrorMessage="1" promptTitle="2026 INC" prompt="April 10-11, 2026_x000a_Chicago, IL_x000a_https://innocencenetwork.org/subcategory/conference-2026_x000a_" sqref="AF8" xr:uid="{FEABB091-2D7B-4724-8B7F-5F469261E3A7}"/>
    <dataValidation allowBlank="1" showInputMessage="1" showErrorMessage="1" promptTitle="ASCLD Annual Symposium" prompt="May 17-21, 2026_x000a_Grand Rapids, MI_x000a_https://www.ascld.org/ascld-annual-symposium" sqref="B19" xr:uid="{DA303184-B454-4F1B-A691-15862C36570C}"/>
    <dataValidation allowBlank="1" showInputMessage="1" showErrorMessage="1" promptTitle="AFTE Annual Training Seminar" prompt="May 24-29, 2026_x000a_Baltimore, MD_x000a_https://na.eventscloud.com/website/84776/_x000a_" sqref="G20 B20:D20" xr:uid="{171C6B43-7243-4160-B1A9-A0990B3D1EBB}"/>
    <dataValidation allowBlank="1" showInputMessage="1" showErrorMessage="1" promptTitle="IACP Annual Conference" prompt="October 24-27, 2026_x000a_Orlando, FL_x000a_https://www.theiacpconference.org/attend/past-conferences/_x000a_" sqref="P28 J29" xr:uid="{19D633E3-BDC4-4A4D-877C-E1529533DEF4}"/>
    <dataValidation allowBlank="1" showInputMessage="1" showErrorMessage="1" promptTitle="IACME Spring Conference" prompt="March 1-4, 2026_x000a_Minneapolis, MN_x000a_https://theiacme.com/_x000a_" sqref="R7:U7" xr:uid="{A9CAA763-CFC2-4C62-998B-93BC80739D14}"/>
    <dataValidation allowBlank="1" showInputMessage="1" showErrorMessage="1" promptTitle="SOFT &amp; TIAFT Joint Meeting" prompt="September 19-24, 2026_x000a_Chicago, IL _x000a_https://www.soft-tox.org/soft-tiaft-2026_x000a_" sqref="H27 B28:D28" xr:uid="{4AD001C3-8177-4433-A4A9-870F9FA0AF0F}"/>
    <dataValidation allowBlank="1" showInputMessage="1" showErrorMessage="1" promptTitle="2026 Bode Conference" prompt="April 7-10, 2026_x000a_Baltimore, MD_x000a_https://www.bodeconference.com" sqref="AB8:AD8" xr:uid="{DD7CB09F-49D2-4EE1-A81F-7CDA2F8478D6}"/>
    <dataValidation allowBlank="1" showInputMessage="1" showErrorMessage="1" promptTitle="SWAFS &amp; ISHI" prompt="SWAFS Annual Conference October 25-30, 2026;_x000a_ISHI October 26-29, 2026" sqref="N29" xr:uid="{D72B36FF-7FC6-41C6-AE32-78B98EACEDCC}"/>
    <dataValidation allowBlank="1" showInputMessage="1" showErrorMessage="1" promptTitle="Bode &amp; INC 2026" prompt="Bode April 7-10, 2026; _x000a_INC April 10-11, 2026_x000a_" sqref="AE8" xr:uid="{C85D1298-5B61-48A0-8E3E-248D8B24B689}"/>
    <dataValidation allowBlank="1" showInputMessage="1" showErrorMessage="1" promptTitle="ISHI" prompt="October 26-29, 2026_x000a_Providence, RI _x000a_https://www.ishinews.com/attend/upcoming-meeting-locations/_x000a_" sqref="M29" xr:uid="{9BCE3284-097E-454B-A361-59851B376996}"/>
    <dataValidation allowBlank="1" showInputMessage="1" showErrorMessage="1" promptTitle="IHIA Annual Symposium " prompt="August 9-13, 2026_x000a_New Orleans, LA_x000a_https://ihia.org/Annual-Symposium" sqref="Z18:AD18" xr:uid="{DEE7EE15-4637-4944-88F9-2FF6868ECF73}"/>
    <dataValidation allowBlank="1" showInputMessage="1" showErrorMessage="1" promptTitle="NAME Annual Meeting" prompt="October 16-20, 2026_x000a_Kansas City, MO_x000a_https://www.thename.org/future-meetings" sqref="O27:P27 J28:L28" xr:uid="{04453E0F-D2EA-41B2-BE55-2676D54EF477}"/>
    <dataValidation allowBlank="1" showInputMessage="1" showErrorMessage="1" promptTitle="AAFS Conference" prompt="February 9-14, 2026 _x000a_New Orleans, LA_x000a_https://www.aafs.org/annual-conference_x000a__x000a_*NOTE: Conference date is earlier than previous years" sqref="K8:P8" xr:uid="{AB159002-7F7D-4538-B205-CA7CAF77BEB3}"/>
    <dataValidation allowBlank="1" showInputMessage="1" showErrorMessage="1" promptTitle="IACME Annual Conference" prompt="July 19-23; 2026_x000a_Las Vegas, NV _x000a_https://theiacme.com/_x000a_" sqref="R19:U19" xr:uid="{1F8224B4-8B0D-4E39-AB1C-607D0B23AEAA}"/>
    <dataValidation allowBlank="1" showInputMessage="1" showErrorMessage="1" promptTitle="2026 National Missing and Unidentified Persons" prompt="April 21-23, 2026_x000a_Las Vegas, NV_x000a_https://ncjtc.fvtc.edu/trainings/TR00000143/TRI2584581/national-missing-and-unidentified-persons-conference#panelResources" sqref="AB10:AD10" xr:uid="{4C1E64FB-316A-4687-A01C-F9B40123A61A}"/>
    <dataValidation allowBlank="1" showInputMessage="1" showErrorMessage="1" promptTitle="OJP Basic Financial Management #3" prompt="June 24-25, 2026_x000a_Washington, DC_x000a_https://www.ojp.gov/training-and-technical-assistance/gfmts/basic-seminar-registration    " sqref="M19:N19" xr:uid="{F6137703-0AA7-4399-8DE3-E8B126040C64}"/>
    <dataValidation allowBlank="1" showInputMessage="1" showErrorMessage="1" promptTitle="OJP Basic Financial Management #1" prompt="January 14-15, 2026 _x000a_Virtual_x000a_https://www.ojp.gov/training-and-technical-assistance/gfmts/basic-seminar-registration " sqref="F9" xr:uid="{CEBABAE7-D6D0-4496-892B-7CF08D85016F}"/>
    <dataValidation allowBlank="1" showInputMessage="1" showErrorMessage="1" promptTitle="OJP Basic Financial Management #2" prompt="February 18-19, 2026 _x000a_Washington, DC _x000a_https://www.ojp.gov/training-and-technical-assistance/gfmts/basic-seminar-registration     " sqref="M9:N9" xr:uid="{A53ACBAB-0DD8-476E-AF3B-D8BE52A2A48D}"/>
    <dataValidation allowBlank="1" showInputMessage="1" showErrorMessage="1" promptTitle="OJP Advanced Financial Management #1" prompt="March 18-19, 2026 _x000a_Washington, DC _x000a_https://www.ojp.gov/training-and-technical-assistance/gfmts/advanced-seminar-registration" sqref="T10:U10" xr:uid="{07DD7F93-0FBB-451A-B15F-5886059168EF}"/>
    <dataValidation allowBlank="1" showInputMessage="1" showErrorMessage="1" promptTitle="OJP Basic Financial Management #4" prompt="August 19-20, 2026  _x000a_Washington, DC_x000a_https://www.ojp.gov/training-and-technical-assistance/gfmts/basic-seminar-registration    " sqref="AC19:AD19" xr:uid="{B9934443-95CF-453A-A0DB-A9235ED2F53A}"/>
    <dataValidation allowBlank="1" showInputMessage="1" showErrorMessage="1" promptTitle="OJP Basic Financial Management #5" prompt="September 23-24, 2026 _x000a_Virtual _x000a_https://www.ojp.gov/training-and-technical-assistance/gfmts/basic-seminar-registration    " sqref="E28:F28" xr:uid="{C26F6720-D3E5-4C3A-80F2-6E4CE8E3602D}"/>
    <dataValidation allowBlank="1" showInputMessage="1" showErrorMessage="1" promptTitle="OJP Advanced Financial Management #2" prompt="May 27-28, 2026 _x000a_Washington, DC _x000a_https://www.ojp.gov/training-and-technical-assistance/gfmts/advanced-seminar-registration" sqref="E20:F20" xr:uid="{A86F5586-AA31-4CB2-80B1-4E920DE0C0D1}"/>
    <dataValidation allowBlank="1" showInputMessage="1" showErrorMessage="1" promptTitle="CCAW" prompt="May 18-21, 2026 _x000a_Dallas, TX _x000a_https://conferencecaw.org/registration-2026/ " sqref="F19" xr:uid="{8F166151-F699-4669-85EE-E1BD38DF347B}"/>
    <dataValidation allowBlank="1" showInputMessage="1" showErrorMessage="1" promptTitle="2026 SAFS Annual Meeting" prompt="April 13-17, 2026  _x000a_Greenville, SC _x000a_https://safsannualmeeting.com/  " sqref="AA9:AE9" xr:uid="{FCDEA70D-3558-4A94-92C8-93EE67AD7C42}"/>
    <dataValidation allowBlank="1" showInputMessage="1" showErrorMessage="1" promptTitle="MAFS Annual Meeting" prompt="August 23-28, 2026 _x000a_Minneapolis, MN  _x000a_https://mafs.net/page-18404  " sqref="Z20:AE20" xr:uid="{ACF61BED-D057-4E2C-ADFA-53E04BD3E3E4}"/>
    <dataValidation allowBlank="1" showInputMessage="1" showErrorMessage="1" promptTitle="MAAFS &amp; NEAFS Joint Meeting" prompt="October 5-9, 2026 _x000a_Pocono Mountains, PA _x000a_https://www.neafs.org/neafs-annual-meeting _x000a_https://www.maafs.org/annual-meeting  " sqref="K26:O26" xr:uid="{ED490F6B-BC05-44C3-8073-67BFD167B680}"/>
    <dataValidation allowBlank="1" showInputMessage="1" showErrorMessage="1" promptTitle="IACP, SWAFS, &amp; ISHI" prompt="IACP Annual Conference October 24-27, 2026; _x000a_SWAFS Annual Conference October 25-30, 2026;_x000a_ISHI October 26-29, 2026" sqref="K29:L29" xr:uid="{6C280F2A-41FE-48BC-9F08-0E8161653E92}"/>
    <dataValidation allowBlank="1" showInputMessage="1" showErrorMessage="1" promptTitle="SWAFS Annual Conference" prompt="October 25-30, 2026 _x000a_Grand Junction, CO _x000a_https://swafs.us/annual-conference/ " sqref="O29" xr:uid="{C18DD868-D5C5-414E-B8C3-30E294ADECDC}"/>
    <dataValidation allowBlank="1" showInputMessage="1" showErrorMessage="1" promptTitle="ASCLD Annual Symposium &amp; CCAW" prompt="ASCLD Annual Symposium May 17-21, 2026; _x000a_CCAW May 18-21, 2026" sqref="C19:E19" xr:uid="{A9B5126E-19A8-4D29-811A-5A6B4D2D9138}"/>
    <dataValidation allowBlank="1" showInputMessage="1" showErrorMessage="1" promptTitle="IAI Educational Conference" prompt="August 16-22, 2026_x000a_St. Louis, MO_x000a_https://www.theiai.org/conference_information.php" sqref="Z19:AB19 AE19:AF19" xr:uid="{E69855B8-AA8D-4059-8583-3C91A8D58AB3}"/>
  </dataValidations>
  <hyperlinks>
    <hyperlink ref="T18:V18" r:id="rId1" display="Scientific Working Group on DNA Analysis Methods Regular Meeting" xr:uid="{303EE494-281E-43F4-80E4-77C0230508FC}"/>
    <hyperlink ref="R7:U7" r:id="rId2" display="International Association of Coroners and Medical Examiners Conference" xr:uid="{E58B2CC1-F1B6-4FA3-A8B2-C0E10FF00595}"/>
    <hyperlink ref="L7:M7" r:id="rId3" display="National District Attorneys Association Prosecutor Advocacy Conference" xr:uid="{920EA1AD-5A05-4B58-8B96-7E68AD9C0DF2}"/>
    <hyperlink ref="K8:O8" r:id="rId4" display="American Academy of Forensic Science Annual Conference" xr:uid="{0E2FDB7B-81D1-49D7-BFEA-A4E91498C1F9}"/>
    <hyperlink ref="AB8:AD8" r:id="rId5" display="Bode Technology Conference" xr:uid="{BC582B56-0AFB-4D01-ACBA-3FA2BFA5B4D9}"/>
    <hyperlink ref="AF8" r:id="rId6" xr:uid="{E7BC6309-8D07-4492-94E9-F2510FE8BA47}"/>
    <hyperlink ref="Z18:AD18" r:id="rId7" display="International Homicide Investigators Association " xr:uid="{01B8E565-A4A7-4187-AF1F-95E6B1976872}"/>
    <hyperlink ref="R19:U19" r:id="rId8" display="International Association of Coroners and Medical Examiners Conference" xr:uid="{276C6763-C76A-4EE3-AD3A-E6D4E1280D8A}"/>
    <hyperlink ref="AB10:AD10" r:id="rId9" location="panelResources" display="National Missing and Unidentified Persons Conference" xr:uid="{CE9685AB-7DB5-4DFE-8945-146AD3A8DC0E}"/>
    <hyperlink ref="M19:N19" r:id="rId10" display="OJP Basic Financial Management Training #3" xr:uid="{1437E1AA-DCDA-4068-9B6B-369AFD49DF92}"/>
    <hyperlink ref="T10:U10" r:id="rId11" display="OJP Advanced Financial Management Training #1" xr:uid="{45822F53-FCDB-4F75-847E-A5F9550E10C5}"/>
    <hyperlink ref="M9" r:id="rId12" display="OJP Financial Management Training #3" xr:uid="{4C811612-7DA6-4C40-A8D2-2CB9FC661021}"/>
    <hyperlink ref="M9:N9" r:id="rId13" display="OJP Basic Financial Management Training #2" xr:uid="{3876BD36-7E4C-4152-A2FD-F672BF0473EE}"/>
    <hyperlink ref="AC19:AD19" r:id="rId14" display="OJP Basic Financial Management Training #3" xr:uid="{FE4229E2-29FB-4C07-A9CC-13A8FDE5A71D}"/>
    <hyperlink ref="E28:F28" r:id="rId15" display="OJP Basic Financial Management Training #3" xr:uid="{AE025506-16BF-4182-8928-2BCBB02C1A63}"/>
    <hyperlink ref="E20:F20" r:id="rId16" display="OJP Advanced Financial Management Training #1" xr:uid="{10E2D32B-6AB1-4A3B-B1B4-7204596A7C84}"/>
    <hyperlink ref="B19" r:id="rId17" xr:uid="{97018210-8ECA-4FCE-8D19-793A975FAE74}"/>
    <hyperlink ref="F19" r:id="rId18" xr:uid="{36DAEF96-DD4E-416F-BE3D-350EF3562BA1}"/>
    <hyperlink ref="F9" r:id="rId19" xr:uid="{225D48A7-C382-4502-85CC-4A6F02D4485B}"/>
    <hyperlink ref="AA9:AE9" r:id="rId20" display="Southern Association of Forensic Scientists Annual Meeting   " xr:uid="{1CE2C440-FD48-46D8-BB61-BBEB0C98E965}"/>
    <hyperlink ref="Z20:AE20" r:id="rId21" display="Midwestern Association of Forensic Scientists Annual Meeting" xr:uid="{E4E3552F-2276-4524-832B-4390F5468D84}"/>
    <hyperlink ref="K26:O26" r:id="rId22" display="Mid-Atlantic Association of Forensic Scientists &amp; Northeastern Association of Forensic Scientists Joint Annual Meeting" xr:uid="{00FE9760-42C8-492E-8187-10F7CB6F954E}"/>
    <hyperlink ref="M29:N29" r:id="rId23" display="International Symposium on Human Identification" xr:uid="{AA9FDDDE-D20D-41DF-B563-1B871C8BB496}"/>
    <hyperlink ref="O29" r:id="rId24" xr:uid="{149A63BB-CBAF-486D-9B4E-8C7F9806F93D}"/>
    <hyperlink ref="J28:L28" r:id="rId25" display="National Association of Medical Examiners Meeting" xr:uid="{02C57DA4-72AB-46B3-86D7-5FC0DB1EA44E}"/>
    <hyperlink ref="J29" r:id="rId26" xr:uid="{AF54FC1C-1D98-415D-9BF1-52FF29985A4C}"/>
    <hyperlink ref="D9:E9" r:id="rId27" display="Scientific Working Group on DNA Analysis Methods Regular Meeting" xr:uid="{DBA4579D-020A-4CCC-AF53-C98B32886FD9}"/>
    <hyperlink ref="B20:D20" r:id="rId28" display="Association of Firearm and Tool Mark Examiners Annual Training Seminar" xr:uid="{9AB5BECE-C420-4F45-AE98-9DFF578B8C16}"/>
    <hyperlink ref="Z19:AB19" r:id="rId29" display="International Association for Identification Educational Conference" xr:uid="{03935B31-BCC6-4CFF-8B43-BB370415D6E6}"/>
    <hyperlink ref="B28:D28" r:id="rId30" display="Society of Forensic Toxicologists &amp; The International Association of Forensic Toxicologists Joint Meeting" xr:uid="{BA29476A-3FA5-4177-B9B3-50E17C3E73D8}"/>
  </hyperlinks>
  <printOptions horizontalCentered="1" verticalCentered="1"/>
  <pageMargins left="0.3" right="0.3" top="0.3" bottom="0.3" header="0" footer="0"/>
  <pageSetup scale="70" orientation="landscape" r:id="rId31"/>
  <drawing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E5814883B49940B4B8AAE202A6E984" ma:contentTypeVersion="16" ma:contentTypeDescription="Create a new document." ma:contentTypeScope="" ma:versionID="e0e524c52fc785caeffa37ae9443c3fa">
  <xsd:schema xmlns:xsd="http://www.w3.org/2001/XMLSchema" xmlns:xs="http://www.w3.org/2001/XMLSchema" xmlns:p="http://schemas.microsoft.com/office/2006/metadata/properties" xmlns:ns2="8ef27eb8-0e3d-496f-b523-771757bdd770" xmlns:ns3="8416942f-d982-4ba4-a5b0-104826b4be24" targetNamespace="http://schemas.microsoft.com/office/2006/metadata/properties" ma:root="true" ma:fieldsID="23ce999913009b2469d0c6b24b0a92a1" ns2:_="" ns3:_="">
    <xsd:import namespace="8ef27eb8-0e3d-496f-b523-771757bdd770"/>
    <xsd:import namespace="8416942f-d982-4ba4-a5b0-104826b4be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27eb8-0e3d-496f-b523-771757bdd7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6942f-d982-4ba4-a5b0-104826b4be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d50615b-cec2-4d56-b65e-8f4b56f4a57f}" ma:internalName="TaxCatchAll" ma:showField="CatchAllData" ma:web="8416942f-d982-4ba4-a5b0-104826b4be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f27eb8-0e3d-496f-b523-771757bdd770">
      <Terms xmlns="http://schemas.microsoft.com/office/infopath/2007/PartnerControls"/>
    </lcf76f155ced4ddcb4097134ff3c332f>
    <TaxCatchAll xmlns="8416942f-d982-4ba4-a5b0-104826b4be24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9 1 w w W X 0 U F W K l A A A A 9 w A A A B I A H A B D b 2 5 m a W c v U G F j a 2 F n Z S 5 4 b W w g o h g A K K A U A A A A A A A A A A A A A A A A A A A A A A A A A A A A h Y 9 B D o I w F E S v Q r q n L d U Y Q z 5 l 4 V Y S E 6 J x S 2 q F R v g Y W i x 3 c + G R v I I Y R d 2 5 n J k 3 y c z 9 e o N 0 a O r g o j t r W k x I R D k J N K r 2 Y L B M S O + O 4 Z K k E j a F O h W l D k Y Y b T x Y k 5 D K u X P M m P e e + h l t u 5 I J z i O 2 z 9 a 5 q n R T h A a t K 1 B p 8 m k d / r e I h N 1 r j B Q 0 E g s q 5 l x Q D m x y I T P 4 J c Q 4 + J n + m L D q a 9 d 3 W m o M t z m w S Q J 7 n 5 A P U E s D B B Q A A g A I A P d c M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3 X D B Z K I p H u A 4 A A A A R A A A A E w A c A E Z v c m 1 1 b G F z L 1 N l Y 3 R p b 2 4 x L m 0 g o h g A K K A U A A A A A A A A A A A A A A A A A A A A A A A A A A A A K 0 5 N L s n M z 1 M I h t C G 1 g B Q S w E C L Q A U A A I A C A D 3 X D B Z f R Q V Y q U A A A D 3 A A A A E g A A A A A A A A A A A A A A A A A A A A A A Q 2 9 u Z m l n L 1 B h Y 2 t h Z 2 U u e G 1 s U E s B A i 0 A F A A C A A g A 9 1 w w W Q / K 6 a u k A A A A 6 Q A A A B M A A A A A A A A A A A A A A A A A 8 Q A A A F t D b 2 5 0 Z W 5 0 X 1 R 5 c G V z X S 5 4 b W x Q S w E C L Q A U A A I A C A D 3 X D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M 3 l o w k 4 x t 0 6 c r 0 r D 7 d E 0 f Q A A A A A C A A A A A A A D Z g A A w A A A A B A A A A A 7 Q Y T 1 n a I R e x n 6 d S j d w K D 5 A A A A A A S A A A C g A A A A E A A A A P 7 9 0 H X 5 N 5 3 u y / Q M e 8 K t 2 0 h Q A A A A f W E D j y z k K i 5 n Y U w O E 9 o P F 0 o 0 u k 9 r 7 S 5 / f O b T S K 5 Z H p x E 5 y n k m s Q x c 7 k y / d + 6 7 q o e E o o q d p R e 9 Q u a s d J n 5 C C t w X T T I D E P R R s M 1 9 2 1 y B p c q I I U A A A A O N Z g V w y l B t i + 7 G K 4 0 h b E b i P o t z g = < / D a t a M a s h u p > 
</file>

<file path=customXml/itemProps1.xml><?xml version="1.0" encoding="utf-8"?>
<ds:datastoreItem xmlns:ds="http://schemas.openxmlformats.org/officeDocument/2006/customXml" ds:itemID="{F6A06DDC-CCCD-4339-A715-4E2FF1EAB7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7FC5D2-3C4A-42BC-9C70-6ACD804FF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f27eb8-0e3d-496f-b523-771757bdd770"/>
    <ds:schemaRef ds:uri="8416942f-d982-4ba4-a5b0-104826b4be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30AA01-BB81-40D6-A942-218AA32E8C75}">
  <ds:schemaRefs>
    <ds:schemaRef ds:uri="http://schemas.microsoft.com/office/2006/metadata/properties"/>
    <ds:schemaRef ds:uri="http://schemas.microsoft.com/office/infopath/2007/PartnerControls"/>
    <ds:schemaRef ds:uri="8ef27eb8-0e3d-496f-b523-771757bdd770"/>
    <ds:schemaRef ds:uri="8416942f-d982-4ba4-a5b0-104826b4be24"/>
  </ds:schemaRefs>
</ds:datastoreItem>
</file>

<file path=customXml/itemProps4.xml><?xml version="1.0" encoding="utf-8"?>
<ds:datastoreItem xmlns:ds="http://schemas.openxmlformats.org/officeDocument/2006/customXml" ds:itemID="{F5B941E0-1132-4C8A-B19D-7C00359A18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TM22790064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Forensics TTA Calendar 2026</vt:lpstr>
      <vt:lpstr>CalendarYear</vt:lpstr>
      <vt:lpstr>January</vt:lpstr>
      <vt:lpstr>Range_Days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2020-10-19T18:13:58Z</dcterms:created>
  <dcterms:modified xsi:type="dcterms:W3CDTF">2026-02-10T20:52:52Z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0x0101002FE5814883B49940B4B8AAE202A6E984</vt:lpwstr>
  </property>
  <property fmtid="{D5CDD505-2E9C-101B-9397-08002B2CF9AE}" pid="3" name="MediaServiceImageTags">
    <vt:lpwstr/>
  </property>
</Properties>
</file>