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_{B6902276-806D-4A22-BF03-AAA4214F87C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ensics TTA Calendar 2025" sheetId="16" r:id="rId1"/>
  </sheets>
  <definedNames>
    <definedName name="AprSun1">DATE(CalendarYear,4,1)-WEEKDAY(DATE(CalendarYear,4,1))</definedName>
    <definedName name="AugSun1">DATE(CalendarYear,8,1)-WEEKDAY(DATE(CalendarYear,8,1))</definedName>
    <definedName name="CalendarYear">'Forensics TTA Calendar 2025'!$AC$1</definedName>
    <definedName name="DecSun1">DATE(CalendarYear,12,1)-WEEKDAY(DATE(CalendarYear,12,1))</definedName>
    <definedName name="EventDate">#REF!</definedName>
    <definedName name="FebSun1">DATE(CalendarYear,2,1)-WEEKDAY(DATE(CalendarYear,2,1))</definedName>
    <definedName name="JanSun1">DATE(CalendarYear,1,1)-WEEKDAY(DATE(CalendarYear,1,1))</definedName>
    <definedName name="January">'Forensics TTA Calendar 2025'!$B$5:$H$12</definedName>
    <definedName name="JulSun1">DATE(CalendarYear,7,1)-WEEKDAY(DATE(CalendarYear,7,1))</definedName>
    <definedName name="JunSun1">DATE(CalendarYear,6,1)-WEEKDAY(DATE(CalendarYear,6,1))</definedName>
    <definedName name="MarSun1">DATE(CalendarYear,3,1)-WEEKDAY(DATE(CalendarYear,3,1))</definedName>
    <definedName name="MaySun1">DATE(CalendarYear,5,1)-WEEKDAY(DATE(CalendarYear,5,1))</definedName>
    <definedName name="NovSun1">DATE(CalendarYear,11,1)-WEEKDAY(DATE(CalendarYear,11,1))</definedName>
    <definedName name="OctSun1">DATE(CalendarYear,10,1)-WEEKDAY(DATE(CalendarYear,10,1))</definedName>
    <definedName name="OtherDate">#REF!</definedName>
    <definedName name="Pattern_Start">#REF!</definedName>
    <definedName name="Range_Days">'Forensics TTA Calendar 2025'!$B$7:$H$12,'Forensics TTA Calendar 2025'!$J$7:$P$12,'Forensics TTA Calendar 2025'!$R$7:$X$12,'Forensics TTA Calendar 2025'!$Z$7:$AF$12,'Forensics TTA Calendar 2025'!$B$16:$H$21,'Forensics TTA Calendar 2025'!$J$16:$P$21,'Forensics TTA Calendar 2025'!$R$16:$X$21,'Forensics TTA Calendar 2025'!$Z$16:$AF$21,'Forensics TTA Calendar 2025'!$B$25:$H$30,'Forensics TTA Calendar 2025'!$J$25:$P$30,'Forensics TTA Calendar 2025'!$R$25:$X$30,'Forensics TTA Calendar 2025'!$Z$25:$AF$30</definedName>
    <definedName name="SepSun1">DATE(CalendarYear,9,1)-WEEKDAY(DATE(CalendarYear,9,1))</definedName>
    <definedName name="Shift_Pattern">#REF!</definedName>
    <definedName name="Shift1_Code">#REF!</definedName>
    <definedName name="Shift2_Code">#REF!</definedName>
    <definedName name="Shift3_Code">#REF!</definedName>
    <definedName name="TrainingDat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1" i="16" l="1"/>
  <c r="U11" i="16"/>
  <c r="T11" i="16"/>
  <c r="H16" i="16"/>
  <c r="AE11" i="16"/>
  <c r="AD11" i="16"/>
  <c r="O18" i="16"/>
  <c r="AD8" i="16"/>
  <c r="R10" i="16"/>
  <c r="R11" i="16"/>
  <c r="AF30" i="16"/>
  <c r="AE30" i="16"/>
  <c r="AD30" i="16"/>
  <c r="AC30" i="16"/>
  <c r="AB30" i="16"/>
  <c r="AA30" i="16"/>
  <c r="Z30" i="16"/>
  <c r="X30" i="16"/>
  <c r="W30" i="16"/>
  <c r="V30" i="16"/>
  <c r="U30" i="16"/>
  <c r="T30" i="16"/>
  <c r="S30" i="16"/>
  <c r="R30" i="16"/>
  <c r="P30" i="16"/>
  <c r="O30" i="16"/>
  <c r="N30" i="16"/>
  <c r="M30" i="16"/>
  <c r="L30" i="16"/>
  <c r="K30" i="16"/>
  <c r="J30" i="16"/>
  <c r="H30" i="16"/>
  <c r="G30" i="16"/>
  <c r="F30" i="16"/>
  <c r="E30" i="16"/>
  <c r="D30" i="16"/>
  <c r="C30" i="16"/>
  <c r="B30" i="16"/>
  <c r="AF29" i="16"/>
  <c r="AE29" i="16"/>
  <c r="AD29" i="16"/>
  <c r="AC29" i="16"/>
  <c r="AB29" i="16"/>
  <c r="AA29" i="16"/>
  <c r="Z29" i="16"/>
  <c r="X29" i="16"/>
  <c r="W29" i="16"/>
  <c r="V29" i="16"/>
  <c r="U29" i="16"/>
  <c r="T29" i="16"/>
  <c r="S29" i="16"/>
  <c r="R29" i="16"/>
  <c r="P29" i="16"/>
  <c r="H29" i="16"/>
  <c r="G29" i="16"/>
  <c r="F29" i="16"/>
  <c r="E29" i="16"/>
  <c r="D29" i="16"/>
  <c r="C29" i="16"/>
  <c r="B29" i="16"/>
  <c r="AF28" i="16"/>
  <c r="AE28" i="16"/>
  <c r="AD28" i="16"/>
  <c r="AC28" i="16"/>
  <c r="AB28" i="16"/>
  <c r="AA28" i="16"/>
  <c r="Z28" i="16"/>
  <c r="X28" i="16"/>
  <c r="W28" i="16"/>
  <c r="V28" i="16"/>
  <c r="U28" i="16"/>
  <c r="T28" i="16"/>
  <c r="S28" i="16"/>
  <c r="R28" i="16"/>
  <c r="P28" i="16"/>
  <c r="O28" i="16"/>
  <c r="N28" i="16"/>
  <c r="H28" i="16"/>
  <c r="G28" i="16"/>
  <c r="F28" i="16"/>
  <c r="E28" i="16"/>
  <c r="D28" i="16"/>
  <c r="C28" i="16"/>
  <c r="B28" i="16"/>
  <c r="AF27" i="16"/>
  <c r="AE27" i="16"/>
  <c r="AD27" i="16"/>
  <c r="AC27" i="16"/>
  <c r="AB27" i="16"/>
  <c r="AA27" i="16"/>
  <c r="Z27" i="16"/>
  <c r="X27" i="16"/>
  <c r="W27" i="16"/>
  <c r="V27" i="16"/>
  <c r="U27" i="16"/>
  <c r="T27" i="16"/>
  <c r="S27" i="16"/>
  <c r="R27" i="16"/>
  <c r="O27" i="16"/>
  <c r="N27" i="16"/>
  <c r="M27" i="16"/>
  <c r="L27" i="16"/>
  <c r="K27" i="16"/>
  <c r="J27" i="16"/>
  <c r="H27" i="16"/>
  <c r="G27" i="16"/>
  <c r="F27" i="16"/>
  <c r="C27" i="16"/>
  <c r="B27" i="16"/>
  <c r="AF26" i="16"/>
  <c r="AE26" i="16"/>
  <c r="AD26" i="16"/>
  <c r="AC26" i="16"/>
  <c r="AB26" i="16"/>
  <c r="AA26" i="16"/>
  <c r="Z26" i="16"/>
  <c r="X26" i="16"/>
  <c r="W26" i="16"/>
  <c r="R26" i="16"/>
  <c r="P26" i="16"/>
  <c r="O26" i="16"/>
  <c r="N26" i="16"/>
  <c r="M26" i="16"/>
  <c r="L26" i="16"/>
  <c r="K26" i="16"/>
  <c r="J26" i="16"/>
  <c r="H26" i="16"/>
  <c r="G26" i="16"/>
  <c r="F26" i="16"/>
  <c r="E26" i="16"/>
  <c r="D26" i="16"/>
  <c r="C26" i="16"/>
  <c r="B26" i="16"/>
  <c r="AF25" i="16"/>
  <c r="AE25" i="16"/>
  <c r="AD25" i="16"/>
  <c r="AC25" i="16"/>
  <c r="AB25" i="16"/>
  <c r="AA25" i="16"/>
  <c r="Z25" i="16"/>
  <c r="X25" i="16"/>
  <c r="W25" i="16"/>
  <c r="V25" i="16"/>
  <c r="U25" i="16"/>
  <c r="T25" i="16"/>
  <c r="S25" i="16"/>
  <c r="R25" i="16"/>
  <c r="P25" i="16"/>
  <c r="O25" i="16"/>
  <c r="N25" i="16"/>
  <c r="M25" i="16"/>
  <c r="L25" i="16"/>
  <c r="K25" i="16"/>
  <c r="J25" i="16"/>
  <c r="H25" i="16"/>
  <c r="G25" i="16"/>
  <c r="F25" i="16"/>
  <c r="E25" i="16"/>
  <c r="D25" i="16"/>
  <c r="C25" i="16"/>
  <c r="B25" i="16"/>
  <c r="AF21" i="16"/>
  <c r="AE21" i="16"/>
  <c r="AD21" i="16"/>
  <c r="AC21" i="16"/>
  <c r="AB21" i="16"/>
  <c r="AA21" i="16"/>
  <c r="Z21" i="16"/>
  <c r="X21" i="16"/>
  <c r="W21" i="16"/>
  <c r="V21" i="16"/>
  <c r="U21" i="16"/>
  <c r="T21" i="16"/>
  <c r="S21" i="16"/>
  <c r="R21" i="16"/>
  <c r="P21" i="16"/>
  <c r="O21" i="16"/>
  <c r="N21" i="16"/>
  <c r="M21" i="16"/>
  <c r="L21" i="16"/>
  <c r="K21" i="16"/>
  <c r="J21" i="16"/>
  <c r="H21" i="16"/>
  <c r="G21" i="16"/>
  <c r="F21" i="16"/>
  <c r="E21" i="16"/>
  <c r="D21" i="16"/>
  <c r="C21" i="16"/>
  <c r="B21" i="16"/>
  <c r="AF20" i="16"/>
  <c r="AE20" i="16"/>
  <c r="AD20" i="16"/>
  <c r="AC20" i="16"/>
  <c r="AB20" i="16"/>
  <c r="AA20" i="16"/>
  <c r="Z20" i="16"/>
  <c r="X20" i="16"/>
  <c r="W20" i="16"/>
  <c r="V20" i="16"/>
  <c r="U20" i="16"/>
  <c r="T20" i="16"/>
  <c r="S20" i="16"/>
  <c r="R20" i="16"/>
  <c r="P20" i="16"/>
  <c r="O20" i="16"/>
  <c r="N20" i="16"/>
  <c r="M20" i="16"/>
  <c r="L20" i="16"/>
  <c r="K20" i="16"/>
  <c r="J20" i="16"/>
  <c r="H20" i="16"/>
  <c r="G20" i="16"/>
  <c r="F20" i="16"/>
  <c r="E20" i="16"/>
  <c r="D20" i="16"/>
  <c r="C20" i="16"/>
  <c r="B20" i="16"/>
  <c r="AF19" i="16"/>
  <c r="Z19" i="16"/>
  <c r="X19" i="16"/>
  <c r="W19" i="16"/>
  <c r="P19" i="16"/>
  <c r="O19" i="16"/>
  <c r="N19" i="16"/>
  <c r="K19" i="16"/>
  <c r="J19" i="16"/>
  <c r="H19" i="16"/>
  <c r="G19" i="16"/>
  <c r="B19" i="16"/>
  <c r="X18" i="16"/>
  <c r="W18" i="16"/>
  <c r="S18" i="16"/>
  <c r="R18" i="16"/>
  <c r="P18" i="16"/>
  <c r="N18" i="16"/>
  <c r="M18" i="16"/>
  <c r="L18" i="16"/>
  <c r="K18" i="16"/>
  <c r="J18" i="16"/>
  <c r="H18" i="16"/>
  <c r="AF17" i="16"/>
  <c r="X17" i="16"/>
  <c r="R17" i="16"/>
  <c r="P17" i="16"/>
  <c r="O17" i="16"/>
  <c r="N17" i="16"/>
  <c r="M17" i="16"/>
  <c r="J17" i="16"/>
  <c r="H17" i="16"/>
  <c r="G17" i="16"/>
  <c r="C17" i="16"/>
  <c r="B17" i="16"/>
  <c r="AF16" i="16"/>
  <c r="AE16" i="16"/>
  <c r="AD16" i="16"/>
  <c r="AC16" i="16"/>
  <c r="AB16" i="16"/>
  <c r="AA16" i="16"/>
  <c r="Z16" i="16"/>
  <c r="X16" i="16"/>
  <c r="W16" i="16"/>
  <c r="V16" i="16"/>
  <c r="U16" i="16"/>
  <c r="T16" i="16"/>
  <c r="S16" i="16"/>
  <c r="R16" i="16"/>
  <c r="P16" i="16"/>
  <c r="K16" i="16"/>
  <c r="J16" i="16"/>
  <c r="E16" i="16"/>
  <c r="D16" i="16"/>
  <c r="C16" i="16"/>
  <c r="B16" i="16"/>
  <c r="AF12" i="16"/>
  <c r="AE12" i="16"/>
  <c r="AD12" i="16"/>
  <c r="AC12" i="16"/>
  <c r="AB12" i="16"/>
  <c r="AA12" i="16"/>
  <c r="Z12" i="16"/>
  <c r="X12" i="16"/>
  <c r="W12" i="16"/>
  <c r="V12" i="16"/>
  <c r="U12" i="16"/>
  <c r="T12" i="16"/>
  <c r="S12" i="16"/>
  <c r="R12" i="16"/>
  <c r="P12" i="16"/>
  <c r="O12" i="16"/>
  <c r="N12" i="16"/>
  <c r="M12" i="16"/>
  <c r="L12" i="16"/>
  <c r="K12" i="16"/>
  <c r="J12" i="16"/>
  <c r="H12" i="16"/>
  <c r="G12" i="16"/>
  <c r="F12" i="16"/>
  <c r="E12" i="16"/>
  <c r="D12" i="16"/>
  <c r="C12" i="16"/>
  <c r="B12" i="16"/>
  <c r="AF11" i="16"/>
  <c r="Z11" i="16"/>
  <c r="X11" i="16"/>
  <c r="W11" i="16"/>
  <c r="S11" i="16"/>
  <c r="P11" i="16"/>
  <c r="O11" i="16"/>
  <c r="M11" i="16"/>
  <c r="L11" i="16"/>
  <c r="K11" i="16"/>
  <c r="J11" i="16"/>
  <c r="H11" i="16"/>
  <c r="G11" i="16"/>
  <c r="F11" i="16"/>
  <c r="E11" i="16"/>
  <c r="D11" i="16"/>
  <c r="C11" i="16"/>
  <c r="B11" i="16"/>
  <c r="AF10" i="16"/>
  <c r="AE10" i="16"/>
  <c r="AD10" i="16"/>
  <c r="AC10" i="16"/>
  <c r="AB10" i="16"/>
  <c r="AA10" i="16"/>
  <c r="Z10" i="16"/>
  <c r="X10" i="16"/>
  <c r="J10" i="16"/>
  <c r="H10" i="16"/>
  <c r="G10" i="16"/>
  <c r="F10" i="16"/>
  <c r="E10" i="16"/>
  <c r="D10" i="16"/>
  <c r="C10" i="16"/>
  <c r="B10" i="16"/>
  <c r="AF9" i="16"/>
  <c r="AE9" i="16"/>
  <c r="AA9" i="16"/>
  <c r="Z9" i="16"/>
  <c r="X9" i="16"/>
  <c r="W9" i="16"/>
  <c r="V9" i="16"/>
  <c r="U9" i="16"/>
  <c r="T9" i="16"/>
  <c r="S9" i="16"/>
  <c r="R9" i="16"/>
  <c r="P9" i="16"/>
  <c r="O9" i="16"/>
  <c r="N9" i="16"/>
  <c r="M9" i="16"/>
  <c r="L9" i="16"/>
  <c r="K9" i="16"/>
  <c r="J9" i="16"/>
  <c r="H9" i="16"/>
  <c r="G9" i="16"/>
  <c r="B9" i="16"/>
  <c r="AF8" i="16"/>
  <c r="AE8" i="16"/>
  <c r="AC8" i="16"/>
  <c r="X8" i="16"/>
  <c r="W8" i="16"/>
  <c r="V8" i="16"/>
  <c r="U8" i="16"/>
  <c r="T8" i="16"/>
  <c r="S8" i="16"/>
  <c r="R8" i="16"/>
  <c r="P8" i="16"/>
  <c r="O8" i="16"/>
  <c r="N8" i="16"/>
  <c r="K8" i="16"/>
  <c r="J8" i="16"/>
  <c r="H8" i="16"/>
  <c r="G8" i="16"/>
  <c r="F8" i="16"/>
  <c r="E8" i="16"/>
  <c r="D8" i="16"/>
  <c r="C8" i="16"/>
  <c r="B8" i="16"/>
  <c r="AC7" i="16"/>
  <c r="AB7" i="16"/>
  <c r="AA7" i="16"/>
  <c r="Z7" i="16"/>
  <c r="X7" i="16"/>
  <c r="W7" i="16"/>
  <c r="V7" i="16"/>
  <c r="U7" i="16"/>
  <c r="T7" i="16"/>
  <c r="S7" i="16"/>
  <c r="R7" i="16"/>
  <c r="P7" i="16"/>
  <c r="O7" i="16"/>
  <c r="N7" i="16"/>
  <c r="M7" i="16"/>
  <c r="L7" i="16"/>
  <c r="K7" i="16"/>
  <c r="J7" i="16"/>
  <c r="H7" i="16"/>
  <c r="G7" i="16"/>
  <c r="F7" i="16"/>
  <c r="E7" i="16"/>
  <c r="D7" i="16"/>
  <c r="C7" i="16"/>
  <c r="B7" i="16"/>
</calcChain>
</file>

<file path=xl/sharedStrings.xml><?xml version="1.0" encoding="utf-8"?>
<sst xmlns="http://schemas.openxmlformats.org/spreadsheetml/2006/main" count="130" uniqueCount="51">
  <si>
    <r>
      <rPr>
        <sz val="40"/>
        <color theme="8" tint="-0.499984740745262"/>
        <rFont val="Franklin Gothic Medium"/>
        <family val="2"/>
        <scheme val="major"/>
      </rPr>
      <t>Forensic TTA</t>
    </r>
    <r>
      <rPr>
        <sz val="40"/>
        <color theme="7" tint="-0.499984740745262"/>
        <rFont val="Franklin Gothic Medium"/>
        <family val="2"/>
        <scheme val="major"/>
      </rPr>
      <t xml:space="preserve"> </t>
    </r>
    <r>
      <rPr>
        <sz val="40"/>
        <color theme="3"/>
        <rFont val="Franklin Gothic Medium"/>
        <family val="2"/>
        <scheme val="major"/>
      </rPr>
      <t>Calendar</t>
    </r>
  </si>
  <si>
    <t>Conferences</t>
  </si>
  <si>
    <t>Trainings</t>
  </si>
  <si>
    <t>Other</t>
  </si>
  <si>
    <t>International Symposium on Human Identification</t>
  </si>
  <si>
    <t>Scientific Working Group on DNA Analysis Methods Regular Meeting</t>
  </si>
  <si>
    <t>National District Attorneys Association Prosecutor Advocacy Conference</t>
  </si>
  <si>
    <t>American Academy of Forensic Science Annual Conference</t>
  </si>
  <si>
    <t>SAKI: Trauma Informed Victim Engagement Training</t>
  </si>
  <si>
    <t>FBI Investigative Genetic Genealogy Training #2</t>
  </si>
  <si>
    <t>FBI Investigative Genetic Genealogy Training #1</t>
  </si>
  <si>
    <t>FBI Investigative Genetic Genealogy Training #3</t>
  </si>
  <si>
    <t>Innocence Network Conference</t>
  </si>
  <si>
    <t>American Society of Crime Lab Directors Conference</t>
  </si>
  <si>
    <t>National Missing and Unidentified Persons Conference</t>
  </si>
  <si>
    <t>OSAC Meeting</t>
  </si>
  <si>
    <t>Organization of Scientifice Area Committees for Forensic Science Meeting</t>
  </si>
  <si>
    <t>Association of Firearm and Tool Mark Examiners Conference</t>
  </si>
  <si>
    <t>Crimes Against Women Conference</t>
  </si>
  <si>
    <t>Bode Technology Conference</t>
  </si>
  <si>
    <t>BJA Forensics Programs Grantees Meeting</t>
  </si>
  <si>
    <t>International Association of Coroners and Medical Examiners Conference</t>
  </si>
  <si>
    <t>International Homicide Investigators Association Training Symposium</t>
  </si>
  <si>
    <t>International Association of Identification Conference</t>
  </si>
  <si>
    <t>International Association of Chiefs of Police Conference</t>
  </si>
  <si>
    <t>Society of Forensic Toxicologists Conference</t>
  </si>
  <si>
    <t>OJP Financial Management Training #3</t>
  </si>
  <si>
    <t>OJP Financial Management Training #1</t>
  </si>
  <si>
    <t>OJP Financial Management Training #5</t>
  </si>
  <si>
    <t>OJP Financial Management Training #2</t>
  </si>
  <si>
    <t>OJP Financial Management Training #4</t>
  </si>
  <si>
    <t>OJP Financial Management Training #6</t>
  </si>
  <si>
    <t>Sun.</t>
  </si>
  <si>
    <t>Mon.</t>
  </si>
  <si>
    <t>Tue.</t>
  </si>
  <si>
    <t>Wed.</t>
  </si>
  <si>
    <t>Thu.</t>
  </si>
  <si>
    <t>Fri.</t>
  </si>
  <si>
    <t>Sat.</t>
  </si>
  <si>
    <t>January 2025</t>
  </si>
  <si>
    <t>February 2025</t>
  </si>
  <si>
    <t>March 2025</t>
  </si>
  <si>
    <t>April 2025</t>
  </si>
  <si>
    <t>July 2025</t>
  </si>
  <si>
    <t>August 2025</t>
  </si>
  <si>
    <t>September 2025</t>
  </si>
  <si>
    <t>October 2025</t>
  </si>
  <si>
    <t>November 2025</t>
  </si>
  <si>
    <t>December 2025</t>
  </si>
  <si>
    <t>May 2025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</si>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</sst>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(&quot;KZT&quot;* #,##0_);_(&quot;KZT&quot;* \(#,##0\);_(&quot;KZT&quot;* &quot;-&quot;_);_(@_)"/>
    <numFmt numFmtId="165" formatCode="_(&quot;KZT&quot;* #,##0.00_);_(&quot;KZT&quot;* \(#,##0.00\);_(&quot;KZT&quot;* &quot;-&quot;??_);_(@_)"/>
    <numFmt numFmtId="166" formatCode="d"/>
    <numFmt numFmtId="167" formatCode="m/d/yy;@"/>
  </numFmts>
  <fonts count="50">
    <font>
      <sz val="12"/>
      <color theme="1"/>
      <name val="Franklin Gothic Book"/>
      <family val="2"/>
      <scheme val="minor"/>
    </font>
    <font>
      <sz val="8"/>
      <name val="Franklin Gothic Book"/>
      <family val="2"/>
      <scheme val="minor"/>
    </font>
    <font>
      <sz val="11"/>
      <color theme="0" tint="-0.499984740745262"/>
      <name val="Calibri"/>
      <family val="2"/>
    </font>
    <font>
      <u/>
      <sz val="12"/>
      <color theme="10"/>
      <name val="Franklin Gothic Book"/>
      <family val="2"/>
      <scheme val="minor"/>
    </font>
    <font>
      <u/>
      <sz val="12"/>
      <color theme="11"/>
      <name val="Franklin Gothic Book"/>
      <family val="2"/>
      <scheme val="minor"/>
    </font>
    <font>
      <sz val="12"/>
      <color theme="1"/>
      <name val="Franklin Gothic Book"/>
      <family val="2"/>
      <scheme val="minor"/>
    </font>
    <font>
      <sz val="18"/>
      <color theme="3"/>
      <name val="Franklin Gothic Medium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2"/>
      <color rgb="FF006100"/>
      <name val="Franklin Gothic Book"/>
      <family val="2"/>
      <scheme val="minor"/>
    </font>
    <font>
      <sz val="12"/>
      <color rgb="FF9C0006"/>
      <name val="Franklin Gothic Book"/>
      <family val="2"/>
      <scheme val="minor"/>
    </font>
    <font>
      <sz val="12"/>
      <color rgb="FF9C5700"/>
      <name val="Franklin Gothic Book"/>
      <family val="2"/>
      <scheme val="minor"/>
    </font>
    <font>
      <sz val="12"/>
      <color rgb="FF3F3F76"/>
      <name val="Franklin Gothic Book"/>
      <family val="2"/>
      <scheme val="minor"/>
    </font>
    <font>
      <b/>
      <sz val="12"/>
      <color rgb="FF3F3F3F"/>
      <name val="Franklin Gothic Book"/>
      <family val="2"/>
      <scheme val="minor"/>
    </font>
    <font>
      <b/>
      <sz val="12"/>
      <color rgb="FFFA7D00"/>
      <name val="Franklin Gothic Book"/>
      <family val="2"/>
      <scheme val="minor"/>
    </font>
    <font>
      <sz val="12"/>
      <color rgb="FFFA7D00"/>
      <name val="Franklin Gothic Book"/>
      <family val="2"/>
      <scheme val="minor"/>
    </font>
    <font>
      <b/>
      <sz val="12"/>
      <color theme="0"/>
      <name val="Franklin Gothic Book"/>
      <family val="2"/>
      <scheme val="minor"/>
    </font>
    <font>
      <sz val="12"/>
      <color rgb="FFFF0000"/>
      <name val="Franklin Gothic Book"/>
      <family val="2"/>
      <scheme val="minor"/>
    </font>
    <font>
      <i/>
      <sz val="12"/>
      <color rgb="FF7F7F7F"/>
      <name val="Franklin Gothic Book"/>
      <family val="2"/>
      <scheme val="minor"/>
    </font>
    <font>
      <b/>
      <sz val="12"/>
      <color theme="1"/>
      <name val="Franklin Gothic Book"/>
      <family val="2"/>
      <scheme val="minor"/>
    </font>
    <font>
      <sz val="12"/>
      <color theme="0"/>
      <name val="Franklin Gothic Book"/>
      <family val="2"/>
      <scheme val="minor"/>
    </font>
    <font>
      <b/>
      <sz val="22"/>
      <color theme="0" tint="-0.499984740745262"/>
      <name val="Franklin Gothic Book"/>
      <family val="2"/>
      <scheme val="minor"/>
    </font>
    <font>
      <b/>
      <sz val="9"/>
      <color theme="0"/>
      <name val="Franklin Gothic Book"/>
      <family val="2"/>
      <scheme val="minor"/>
    </font>
    <font>
      <b/>
      <sz val="9"/>
      <color theme="3" tint="-0.249977111117893"/>
      <name val="Franklin Gothic Book"/>
      <family val="2"/>
      <scheme val="minor"/>
    </font>
    <font>
      <sz val="11"/>
      <color theme="0" tint="-0.499984740745262"/>
      <name val="Franklin Gothic Book"/>
      <family val="2"/>
      <scheme val="minor"/>
    </font>
    <font>
      <sz val="10"/>
      <color theme="1"/>
      <name val="Franklin Gothic Book"/>
      <family val="2"/>
      <scheme val="minor"/>
    </font>
    <font>
      <b/>
      <sz val="9"/>
      <color theme="1"/>
      <name val="Franklin Gothic Book"/>
      <family val="2"/>
      <scheme val="minor"/>
    </font>
    <font>
      <b/>
      <sz val="9"/>
      <color theme="1" tint="4.9989318521683403E-2"/>
      <name val="Franklin Gothic Book"/>
      <family val="2"/>
      <scheme val="minor"/>
    </font>
    <font>
      <b/>
      <sz val="22"/>
      <color theme="7" tint="-0.249977111117893"/>
      <name val="Franklin Gothic Medium"/>
      <family val="2"/>
      <scheme val="major"/>
    </font>
    <font>
      <sz val="10"/>
      <color theme="1"/>
      <name val="Franklin Gothic Medium"/>
      <family val="2"/>
      <scheme val="major"/>
    </font>
    <font>
      <sz val="10"/>
      <color theme="0"/>
      <name val="Franklin Gothic Medium"/>
      <family val="2"/>
      <scheme val="major"/>
    </font>
    <font>
      <sz val="12"/>
      <color theme="1" tint="0.14999847407452621"/>
      <name val="Franklin Gothic Book"/>
      <family val="2"/>
      <scheme val="minor"/>
    </font>
    <font>
      <b/>
      <sz val="12"/>
      <color theme="1" tint="0.14999847407452621"/>
      <name val="Franklin Gothic Book"/>
      <family val="2"/>
      <scheme val="minor"/>
    </font>
    <font>
      <sz val="40"/>
      <color theme="7" tint="-0.499984740745262"/>
      <name val="Franklin Gothic Medium"/>
      <family val="2"/>
      <scheme val="major"/>
    </font>
    <font>
      <b/>
      <sz val="16"/>
      <color theme="7" tint="-0.499984740745262"/>
      <name val="Franklin Gothic Medium"/>
      <family val="2"/>
      <scheme val="major"/>
    </font>
    <font>
      <sz val="11"/>
      <color theme="1" tint="0.14999847407452621"/>
      <name val="Franklin Gothic Book"/>
      <family val="2"/>
      <scheme val="minor"/>
    </font>
    <font>
      <sz val="11"/>
      <color theme="1" tint="0.499984740745262"/>
      <name val="Franklin Gothic Book"/>
      <family val="2"/>
      <scheme val="minor"/>
    </font>
    <font>
      <sz val="16"/>
      <color theme="1"/>
      <name val="Franklin Gothic Book"/>
      <family val="2"/>
      <scheme val="minor"/>
    </font>
    <font>
      <sz val="40"/>
      <color theme="8" tint="-0.499984740745262"/>
      <name val="Franklin Gothic Medium"/>
      <family val="2"/>
      <scheme val="major"/>
    </font>
    <font>
      <sz val="40"/>
      <color theme="3"/>
      <name val="Franklin Gothic Medium"/>
      <family val="2"/>
      <scheme val="major"/>
    </font>
    <font>
      <sz val="16"/>
      <color theme="3"/>
      <name val="Franklin Gothic Medium"/>
      <family val="2"/>
      <scheme val="major"/>
    </font>
    <font>
      <b/>
      <sz val="16"/>
      <color theme="3"/>
      <name val="Franklin Gothic Medium"/>
      <family val="2"/>
      <scheme val="major"/>
    </font>
    <font>
      <sz val="42"/>
      <color theme="3"/>
      <name val="Franklin Gothic Medium"/>
      <family val="2"/>
      <scheme val="major"/>
    </font>
    <font>
      <b/>
      <sz val="11"/>
      <color theme="0" tint="-0.499984740745262"/>
      <name val="Franklin Gothic Book"/>
      <family val="2"/>
      <scheme val="minor"/>
    </font>
    <font>
      <b/>
      <sz val="10"/>
      <color theme="1" tint="0.14999847407452621"/>
      <name val="Franklin Gothic Book"/>
      <family val="2"/>
      <scheme val="minor"/>
    </font>
    <font>
      <u/>
      <sz val="8"/>
      <name val="Arial"/>
      <family val="2"/>
    </font>
    <font>
      <u/>
      <sz val="8"/>
      <color rgb="FFFFFFFF"/>
      <name val="Arial"/>
      <family val="2"/>
    </font>
    <font>
      <u/>
      <sz val="8"/>
      <color theme="0"/>
      <name val="Arial"/>
      <family val="2"/>
    </font>
    <font>
      <u/>
      <sz val="8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499984740745262"/>
        <bgColor indexed="65"/>
      </patternFill>
    </fill>
    <fill>
      <patternFill patternType="lightDown">
        <fgColor theme="3"/>
      </patternFill>
    </fill>
    <fill>
      <patternFill patternType="solid">
        <fgColor theme="8" tint="-0.24994659260841701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gradientFill degree="90">
        <stop position="0">
          <color theme="8" tint="0.59999389629810485"/>
        </stop>
        <stop position="1">
          <color theme="7" tint="0.59999389629810485"/>
        </stop>
      </gradientFill>
    </fill>
    <fill>
      <patternFill patternType="solid">
        <fgColor theme="7" tint="0.59999389629810485"/>
        <bgColor indexed="64"/>
      </patternFill>
    </fill>
    <fill>
      <patternFill patternType="solid">
        <fgColor rgb="FF4D2552"/>
        <bgColor indexed="64"/>
      </patternFill>
    </fill>
    <fill>
      <gradientFill>
        <stop position="0">
          <color theme="8" tint="0.59999389629810485"/>
        </stop>
        <stop position="1">
          <color theme="7" tint="0.59999389629810485"/>
        </stop>
      </gradient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499984740745262"/>
      </left>
      <right style="thin">
        <color theme="0" tint="-0.249977111117893"/>
      </right>
      <top style="thin">
        <color theme="3" tint="-0.49998474074526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3" tint="-0.499984740745262"/>
      </top>
      <bottom/>
      <diagonal/>
    </border>
    <border>
      <left style="thin">
        <color theme="0" tint="-0.249977111117893"/>
      </left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3" fillId="33" borderId="1" applyNumberFormat="0">
      <alignment horizontal="center" vertical="center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5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7" fillId="34" borderId="1" applyNumberFormat="0">
      <alignment horizontal="center" vertical="center"/>
    </xf>
    <xf numFmtId="0" fontId="24" fillId="0" borderId="1" applyNumberFormat="0">
      <alignment horizontal="center" vertical="center"/>
    </xf>
    <xf numFmtId="0" fontId="28" fillId="36" borderId="1">
      <alignment horizontal="center" vertical="center"/>
    </xf>
    <xf numFmtId="0" fontId="23" fillId="35" borderId="1">
      <alignment horizontal="center" vertical="center"/>
    </xf>
    <xf numFmtId="0" fontId="28" fillId="29" borderId="1">
      <alignment horizontal="center" vertical="center"/>
    </xf>
    <xf numFmtId="0" fontId="26" fillId="0" borderId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2" fillId="0" borderId="0" xfId="0" applyFont="1" applyAlignment="1">
      <alignment horizontal="center" vertical="center"/>
    </xf>
    <xf numFmtId="0" fontId="22" fillId="0" borderId="11" xfId="0" applyFont="1" applyBorder="1" applyAlignment="1">
      <alignment vertical="center"/>
    </xf>
    <xf numFmtId="0" fontId="22" fillId="0" borderId="11" xfId="0" applyFont="1" applyBorder="1" applyAlignment="1">
      <alignment horizontal="left" vertical="center"/>
    </xf>
    <xf numFmtId="0" fontId="25" fillId="0" borderId="11" xfId="0" applyFont="1" applyBorder="1" applyAlignment="1">
      <alignment vertical="center"/>
    </xf>
    <xf numFmtId="0" fontId="33" fillId="0" borderId="0" xfId="0" applyFont="1"/>
    <xf numFmtId="0" fontId="35" fillId="0" borderId="0" xfId="0" applyFont="1" applyAlignment="1">
      <alignment vertical="top"/>
    </xf>
    <xf numFmtId="0" fontId="2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indent="1"/>
    </xf>
    <xf numFmtId="0" fontId="37" fillId="0" borderId="0" xfId="0" applyFont="1" applyAlignment="1">
      <alignment vertical="center"/>
    </xf>
    <xf numFmtId="0" fontId="36" fillId="38" borderId="12" xfId="0" applyFont="1" applyFill="1" applyBorder="1" applyAlignment="1">
      <alignment horizontal="center" vertical="center"/>
    </xf>
    <xf numFmtId="0" fontId="36" fillId="39" borderId="12" xfId="0" applyFont="1" applyFill="1" applyBorder="1" applyAlignment="1">
      <alignment horizontal="center" vertical="center"/>
    </xf>
    <xf numFmtId="0" fontId="36" fillId="40" borderId="12" xfId="0" applyFont="1" applyFill="1" applyBorder="1" applyAlignment="1">
      <alignment horizontal="center" vertical="center"/>
    </xf>
    <xf numFmtId="166" fontId="32" fillId="0" borderId="0" xfId="0" applyNumberFormat="1" applyFont="1" applyAlignment="1">
      <alignment horizontal="center" vertical="center"/>
    </xf>
    <xf numFmtId="166" fontId="32" fillId="0" borderId="0" xfId="0" applyNumberFormat="1" applyFont="1"/>
    <xf numFmtId="166" fontId="35" fillId="0" borderId="0" xfId="0" applyNumberFormat="1" applyFont="1" applyAlignment="1">
      <alignment vertical="top"/>
    </xf>
    <xf numFmtId="166" fontId="30" fillId="0" borderId="0" xfId="0" applyNumberFormat="1" applyFont="1"/>
    <xf numFmtId="166" fontId="30" fillId="0" borderId="0" xfId="0" applyNumberFormat="1" applyFont="1" applyAlignment="1">
      <alignment horizontal="center" vertical="center"/>
    </xf>
    <xf numFmtId="0" fontId="34" fillId="0" borderId="11" xfId="0" applyFont="1" applyBorder="1"/>
    <xf numFmtId="0" fontId="38" fillId="0" borderId="0" xfId="0" applyFont="1"/>
    <xf numFmtId="0" fontId="42" fillId="0" borderId="0" xfId="0" applyFont="1" applyAlignment="1">
      <alignment vertical="top"/>
    </xf>
    <xf numFmtId="166" fontId="42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44" fillId="0" borderId="11" xfId="0" applyFont="1" applyBorder="1" applyAlignment="1">
      <alignment vertical="center"/>
    </xf>
    <xf numFmtId="14" fontId="33" fillId="0" borderId="0" xfId="0" applyNumberFormat="1" applyFont="1"/>
    <xf numFmtId="14" fontId="33" fillId="0" borderId="0" xfId="0" applyNumberFormat="1" applyFont="1" applyAlignment="1">
      <alignment wrapText="1"/>
    </xf>
    <xf numFmtId="167" fontId="45" fillId="0" borderId="0" xfId="0" applyNumberFormat="1" applyFont="1" applyAlignment="1" applyProtection="1">
      <alignment horizontal="left" shrinkToFit="1"/>
      <protection locked="0"/>
    </xf>
    <xf numFmtId="166" fontId="31" fillId="37" borderId="14" xfId="0" applyNumberFormat="1" applyFont="1" applyFill="1" applyBorder="1" applyAlignment="1">
      <alignment horizontal="center" vertical="center"/>
    </xf>
    <xf numFmtId="166" fontId="31" fillId="37" borderId="15" xfId="0" applyNumberFormat="1" applyFont="1" applyFill="1" applyBorder="1" applyAlignment="1">
      <alignment horizontal="center" vertical="center"/>
    </xf>
    <xf numFmtId="166" fontId="31" fillId="37" borderId="16" xfId="0" applyNumberFormat="1" applyFont="1" applyFill="1" applyBorder="1" applyAlignment="1">
      <alignment horizontal="center" vertical="center"/>
    </xf>
    <xf numFmtId="166" fontId="32" fillId="0" borderId="13" xfId="0" applyNumberFormat="1" applyFon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32" fillId="0" borderId="13" xfId="52" applyNumberFormat="1" applyFont="1" applyFill="1" applyBorder="1">
      <alignment horizontal="center" vertical="center"/>
    </xf>
    <xf numFmtId="166" fontId="32" fillId="0" borderId="13" xfId="51" applyNumberFormat="1" applyFont="1" applyBorder="1">
      <alignment horizontal="center" vertical="center"/>
    </xf>
    <xf numFmtId="166" fontId="32" fillId="0" borderId="13" xfId="53" applyNumberFormat="1" applyFont="1" applyFill="1" applyBorder="1">
      <alignment horizontal="center" vertical="center"/>
    </xf>
    <xf numFmtId="166" fontId="32" fillId="0" borderId="13" xfId="1" applyNumberFormat="1" applyFont="1" applyFill="1" applyBorder="1">
      <alignment horizontal="center" vertical="center"/>
    </xf>
    <xf numFmtId="166" fontId="32" fillId="0" borderId="13" xfId="50" applyNumberFormat="1" applyFont="1" applyFill="1" applyBorder="1">
      <alignment horizontal="center" vertical="center"/>
    </xf>
    <xf numFmtId="166" fontId="32" fillId="0" borderId="13" xfId="54" applyNumberFormat="1" applyFont="1" applyFill="1" applyBorder="1">
      <alignment horizontal="center" vertical="center"/>
    </xf>
    <xf numFmtId="166" fontId="32" fillId="38" borderId="13" xfId="52" applyNumberFormat="1" applyFont="1" applyFill="1" applyBorder="1" applyAlignment="1">
      <alignment vertical="center"/>
    </xf>
    <xf numFmtId="166" fontId="32" fillId="38" borderId="13" xfId="51" applyNumberFormat="1" applyFont="1" applyFill="1" applyBorder="1">
      <alignment horizontal="center" vertical="center"/>
    </xf>
    <xf numFmtId="166" fontId="46" fillId="42" borderId="17" xfId="57" applyNumberFormat="1" applyFont="1" applyFill="1" applyBorder="1" applyAlignment="1">
      <alignment horizontal="center" vertical="center" wrapText="1"/>
    </xf>
    <xf numFmtId="166" fontId="47" fillId="43" borderId="13" xfId="57" applyNumberFormat="1" applyFont="1" applyFill="1" applyBorder="1" applyAlignment="1">
      <alignment horizontal="center" vertical="center" wrapText="1"/>
    </xf>
    <xf numFmtId="166" fontId="46" fillId="38" borderId="13" xfId="57" applyNumberFormat="1" applyFont="1" applyFill="1" applyBorder="1" applyAlignment="1">
      <alignment vertical="center" wrapText="1"/>
    </xf>
    <xf numFmtId="166" fontId="46" fillId="38" borderId="13" xfId="57" applyNumberFormat="1" applyFont="1" applyFill="1" applyBorder="1" applyAlignment="1">
      <alignment horizontal="center" vertical="center"/>
    </xf>
    <xf numFmtId="166" fontId="48" fillId="43" borderId="13" xfId="57" applyNumberFormat="1" applyFont="1" applyFill="1" applyBorder="1" applyAlignment="1">
      <alignment horizontal="center" vertical="center" wrapText="1"/>
    </xf>
    <xf numFmtId="166" fontId="46" fillId="38" borderId="13" xfId="57" applyNumberFormat="1" applyFont="1" applyFill="1" applyBorder="1" applyAlignment="1">
      <alignment horizontal="center" vertical="center" wrapText="1"/>
    </xf>
    <xf numFmtId="166" fontId="47" fillId="43" borderId="17" xfId="57" applyNumberFormat="1" applyFont="1" applyFill="1" applyBorder="1" applyAlignment="1">
      <alignment horizontal="center" vertical="center" wrapText="1"/>
    </xf>
    <xf numFmtId="166" fontId="47" fillId="43" borderId="18" xfId="57" applyNumberFormat="1" applyFont="1" applyFill="1" applyBorder="1" applyAlignment="1">
      <alignment horizontal="center" vertical="center" wrapText="1"/>
    </xf>
    <xf numFmtId="166" fontId="47" fillId="43" borderId="19" xfId="57" applyNumberFormat="1" applyFont="1" applyFill="1" applyBorder="1" applyAlignment="1">
      <alignment horizontal="center" vertical="center" wrapText="1"/>
    </xf>
    <xf numFmtId="166" fontId="46" fillId="42" borderId="17" xfId="57" applyNumberFormat="1" applyFont="1" applyFill="1" applyBorder="1" applyAlignment="1">
      <alignment horizontal="center" vertical="center" wrapText="1"/>
    </xf>
    <xf numFmtId="166" fontId="46" fillId="42" borderId="18" xfId="57" applyNumberFormat="1" applyFont="1" applyFill="1" applyBorder="1" applyAlignment="1">
      <alignment horizontal="center" vertical="center" wrapText="1"/>
    </xf>
    <xf numFmtId="166" fontId="49" fillId="42" borderId="17" xfId="57" applyNumberFormat="1" applyFont="1" applyFill="1" applyBorder="1" applyAlignment="1">
      <alignment horizontal="center" vertical="center" wrapText="1"/>
    </xf>
    <xf numFmtId="166" fontId="49" fillId="42" borderId="19" xfId="57" applyNumberFormat="1" applyFont="1" applyFill="1" applyBorder="1" applyAlignment="1">
      <alignment horizontal="center" vertical="center" wrapText="1"/>
    </xf>
    <xf numFmtId="166" fontId="46" fillId="38" borderId="17" xfId="57" applyNumberFormat="1" applyFont="1" applyFill="1" applyBorder="1" applyAlignment="1">
      <alignment horizontal="center" vertical="center" wrapText="1"/>
    </xf>
    <xf numFmtId="166" fontId="46" fillId="38" borderId="19" xfId="57" applyNumberFormat="1" applyFont="1" applyFill="1" applyBorder="1" applyAlignment="1">
      <alignment horizontal="center" vertical="center" wrapText="1"/>
    </xf>
    <xf numFmtId="166" fontId="49" fillId="44" borderId="17" xfId="57" applyNumberFormat="1" applyFont="1" applyFill="1" applyBorder="1" applyAlignment="1">
      <alignment horizontal="center" vertical="center" wrapText="1"/>
    </xf>
    <xf numFmtId="166" fontId="49" fillId="44" borderId="19" xfId="57" applyNumberFormat="1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right" wrapText="1"/>
    </xf>
    <xf numFmtId="166" fontId="47" fillId="43" borderId="13" xfId="57" applyNumberFormat="1" applyFont="1" applyFill="1" applyBorder="1" applyAlignment="1">
      <alignment horizontal="center" vertical="center" wrapText="1"/>
    </xf>
    <xf numFmtId="49" fontId="41" fillId="0" borderId="0" xfId="0" applyNumberFormat="1" applyFont="1" applyAlignment="1">
      <alignment horizontal="center" vertical="center"/>
    </xf>
    <xf numFmtId="166" fontId="46" fillId="42" borderId="13" xfId="57" applyNumberFormat="1" applyFont="1" applyFill="1" applyBorder="1" applyAlignment="1">
      <alignment horizontal="center" vertical="center" wrapText="1"/>
    </xf>
    <xf numFmtId="166" fontId="49" fillId="41" borderId="17" xfId="57" applyNumberFormat="1" applyFont="1" applyFill="1" applyBorder="1" applyAlignment="1">
      <alignment horizontal="center" vertical="center" wrapText="1"/>
    </xf>
    <xf numFmtId="166" fontId="49" fillId="41" borderId="19" xfId="57" applyNumberFormat="1" applyFont="1" applyFill="1" applyBorder="1" applyAlignment="1">
      <alignment horizontal="center" vertical="center" wrapText="1"/>
    </xf>
    <xf numFmtId="166" fontId="46" fillId="41" borderId="13" xfId="57" applyNumberFormat="1" applyFont="1" applyFill="1" applyBorder="1" applyAlignment="1">
      <alignment horizontal="center" vertical="center" wrapText="1"/>
    </xf>
  </cellXfs>
  <cellStyles count="58">
    <cellStyle name="20% - Accent1" xfId="27" builtinId="30" hidden="1"/>
    <cellStyle name="20% - Accent2" xfId="31" builtinId="34" hidden="1"/>
    <cellStyle name="20% - Accent3" xfId="35" builtinId="38" hidden="1"/>
    <cellStyle name="20% - Accent4" xfId="39" builtinId="42" hidden="1"/>
    <cellStyle name="20% - Accent5" xfId="43" builtinId="46" hidden="1"/>
    <cellStyle name="20% - Accent6" xfId="47" builtinId="50" hidden="1"/>
    <cellStyle name="40% - Accent1" xfId="28" builtinId="31" hidden="1"/>
    <cellStyle name="40% - Accent2" xfId="32" builtinId="35" hidden="1"/>
    <cellStyle name="40% - Accent3" xfId="36" builtinId="39" hidden="1"/>
    <cellStyle name="40% - Accent4" xfId="40" builtinId="43" hidden="1"/>
    <cellStyle name="40% - Accent5" xfId="44" builtinId="47" hidden="1"/>
    <cellStyle name="40% - Accent6" xfId="48" builtinId="51" hidden="1"/>
    <cellStyle name="60% - Accent1" xfId="29" builtinId="32" hidden="1"/>
    <cellStyle name="60% - Accent2" xfId="33" builtinId="36" hidden="1"/>
    <cellStyle name="60% - Accent3" xfId="37" builtinId="40" hidden="1"/>
    <cellStyle name="60% - Accent4" xfId="41" builtinId="44" hidden="1"/>
    <cellStyle name="60% - Accent5" xfId="45" builtinId="48" hidden="1"/>
    <cellStyle name="60% - Accent6" xfId="49" builtinId="52" hidden="1"/>
    <cellStyle name="Accent1" xfId="26" builtinId="29" hidden="1"/>
    <cellStyle name="Accent2" xfId="30" builtinId="33" hidden="1"/>
    <cellStyle name="Accent3" xfId="34" builtinId="37" hidden="1"/>
    <cellStyle name="Accent4" xfId="38" builtinId="41" hidden="1"/>
    <cellStyle name="Accent5" xfId="42" builtinId="45" hidden="1"/>
    <cellStyle name="Accent6" xfId="46" builtinId="49" hidden="1"/>
    <cellStyle name="Bad" xfId="15" builtinId="27" hidden="1"/>
    <cellStyle name="Calculation" xfId="19" builtinId="22" hidden="1"/>
    <cellStyle name="Check Cell" xfId="21" builtinId="23" hidden="1"/>
    <cellStyle name="Comma" xfId="4" builtinId="3" hidden="1"/>
    <cellStyle name="Comma [0]" xfId="5" builtinId="6" hidden="1"/>
    <cellStyle name="Currency" xfId="6" builtinId="4" hidden="1"/>
    <cellStyle name="Currency [0]" xfId="7" builtinId="7" hidden="1"/>
    <cellStyle name="Day Off" xfId="51" xr:uid="{00000000-0005-0000-0000-00001F000000}"/>
    <cellStyle name="Day Shift" xfId="52" xr:uid="{00000000-0005-0000-0000-000020000000}"/>
    <cellStyle name="Day/Night Shift" xfId="54" xr:uid="{00000000-0005-0000-0000-000021000000}"/>
    <cellStyle name="Explanatory Text" xfId="24" builtinId="53" hidden="1"/>
    <cellStyle name="Followed Hyperlink" xfId="3" builtinId="9" hidden="1"/>
    <cellStyle name="Followed Hyperlink" xfId="56" builtinId="9" customBuiltin="1"/>
    <cellStyle name="Good" xfId="14" builtinId="26" hidden="1"/>
    <cellStyle name="Heading 1" xfId="10" builtinId="16" hidden="1"/>
    <cellStyle name="Heading 2" xfId="11" builtinId="17" hidden="1"/>
    <cellStyle name="Heading 3" xfId="12" builtinId="18" hidden="1"/>
    <cellStyle name="Heading 4" xfId="13" builtinId="19" hidden="1"/>
    <cellStyle name="Holidays" xfId="1" xr:uid="{00000000-0005-0000-0000-000029000000}"/>
    <cellStyle name="Hyperlink" xfId="2" builtinId="8" hidden="1"/>
    <cellStyle name="Hyperlink" xfId="57" builtinId="8"/>
    <cellStyle name="Input" xfId="17" builtinId="20" hidden="1"/>
    <cellStyle name="Linked Cell" xfId="20" builtinId="24" hidden="1"/>
    <cellStyle name="Neutral" xfId="16" builtinId="28" hidden="1"/>
    <cellStyle name="Night Shift" xfId="53" xr:uid="{00000000-0005-0000-0000-00002E000000}"/>
    <cellStyle name="Non Working" xfId="50" xr:uid="{00000000-0005-0000-0000-00002F000000}"/>
    <cellStyle name="Normal" xfId="0" builtinId="0"/>
    <cellStyle name="Normal 2" xfId="55" xr:uid="{00000000-0005-0000-0000-000031000000}"/>
    <cellStyle name="Note" xfId="23" builtinId="10" hidden="1"/>
    <cellStyle name="Output" xfId="18" builtinId="21" hidden="1"/>
    <cellStyle name="Percent" xfId="8" builtinId="5" hidden="1"/>
    <cellStyle name="Title" xfId="9" builtinId="15" hidden="1"/>
    <cellStyle name="Total" xfId="25" builtinId="25" hidden="1"/>
    <cellStyle name="Warning Text" xfId="22" builtinId="11" hidden="1"/>
  </cellStyles>
  <dxfs count="12">
    <dxf>
      <fill>
        <patternFill>
          <bgColor theme="8" tint="0.59996337778862885"/>
        </patternFill>
      </fill>
    </dxf>
    <dxf>
      <fill>
        <patternFill>
          <bgColor theme="7" tint="0.39994506668294322"/>
        </patternFill>
      </fill>
    </dxf>
    <dxf>
      <font>
        <color theme="0"/>
      </font>
      <fill>
        <patternFill>
          <bgColor theme="8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39994506668294322"/>
        </patternFill>
      </fill>
    </dxf>
    <dxf>
      <font>
        <color theme="0"/>
      </font>
      <fill>
        <patternFill>
          <bgColor theme="8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39994506668294322"/>
        </patternFill>
      </fill>
    </dxf>
    <dxf>
      <font>
        <color theme="0"/>
      </font>
      <fill>
        <patternFill>
          <bgColor theme="8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39994506668294322"/>
        </patternFill>
      </fill>
    </dxf>
    <dxf>
      <font>
        <color theme="0"/>
      </font>
      <fill>
        <patternFill>
          <bgColor theme="8" tint="-0.499984740745262"/>
        </patternFill>
      </fill>
    </dxf>
  </dxfs>
  <tableStyles count="0" defaultTableStyle="TableStyleMedium9" defaultPivotStyle="PivotStyleMedium7"/>
  <colors>
    <mruColors>
      <color rgb="FF4D2552"/>
      <color rgb="FFFFFFFF"/>
      <color rgb="FF003EDA"/>
      <color rgb="FF002FA4"/>
      <color rgb="FF5AAB59"/>
      <color rgb="FF6AAB4C"/>
      <color rgb="FFAE452D"/>
      <color rgb="FFC06B3F"/>
      <color rgb="FF4677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 ShiftCalendar">
  <a:themeElements>
    <a:clrScheme name="Letterhead-1">
      <a:dk1>
        <a:srgbClr val="000000"/>
      </a:dk1>
      <a:lt1>
        <a:srgbClr val="FFFFFF"/>
      </a:lt1>
      <a:dk2>
        <a:srgbClr val="5E5E5E"/>
      </a:dk2>
      <a:lt2>
        <a:srgbClr val="D6D5D5"/>
      </a:lt2>
      <a:accent1>
        <a:srgbClr val="DF2D25"/>
      </a:accent1>
      <a:accent2>
        <a:srgbClr val="F9D423"/>
      </a:accent2>
      <a:accent3>
        <a:srgbClr val="62C99E"/>
      </a:accent3>
      <a:accent4>
        <a:srgbClr val="45B9EC"/>
      </a:accent4>
      <a:accent5>
        <a:srgbClr val="9B4BA6"/>
      </a:accent5>
      <a:accent6>
        <a:srgbClr val="EF2F94"/>
      </a:accent6>
      <a:hlink>
        <a:srgbClr val="0000FF"/>
      </a:hlink>
      <a:folHlink>
        <a:srgbClr val="FF00FF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hit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38100" tIns="38100" rIns="38100" bIns="381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32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Gill Sans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  <a:extLst>
    <a:ext uri="{05A4C25C-085E-4340-85A3-A5531E510DB2}">
      <thm15:themeFamily xmlns:thm15="http://schemas.microsoft.com/office/thememl/2012/main" name=" ShiftCalendar" id="{C0C15053-41A7-A842-8BD5-207B5038EBEC}" vid="{EDF4B661-04CF-B74B-852D-F3AE147C5ED3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ferencecaw.org/registration-2025/" TargetMode="External"/><Relationship Id="rId13" Type="http://schemas.openxmlformats.org/officeDocument/2006/relationships/hyperlink" Target="https://www.ishinews.com/" TargetMode="External"/><Relationship Id="rId18" Type="http://schemas.openxmlformats.org/officeDocument/2006/relationships/hyperlink" Target="https://www.sakitta.org/newsandevents/event-data/2025-03-17/index.cfm" TargetMode="External"/><Relationship Id="rId26" Type="http://schemas.openxmlformats.org/officeDocument/2006/relationships/hyperlink" Target="https://gfmts.training.ojp.gov/index.html" TargetMode="External"/><Relationship Id="rId3" Type="http://schemas.openxmlformats.org/officeDocument/2006/relationships/hyperlink" Target="https://innocencenetwork.org/subcategory/conference-2025" TargetMode="External"/><Relationship Id="rId21" Type="http://schemas.openxmlformats.org/officeDocument/2006/relationships/hyperlink" Target="https://gfmts.training.ojp.gov/index.html" TargetMode="External"/><Relationship Id="rId7" Type="http://schemas.openxmlformats.org/officeDocument/2006/relationships/hyperlink" Target="https://www.nist.gov/organization-scientific-area-committees-forensic-science/news-%2526-communications/osac-events" TargetMode="External"/><Relationship Id="rId12" Type="http://schemas.openxmlformats.org/officeDocument/2006/relationships/hyperlink" Target="https://www.theiai.org/2025_orlando_conference.php" TargetMode="External"/><Relationship Id="rId17" Type="http://schemas.openxmlformats.org/officeDocument/2006/relationships/hyperlink" Target="https://www.sakitta.org/newsandevents/event-data/2025-03-17/index.cfm" TargetMode="External"/><Relationship Id="rId25" Type="http://schemas.openxmlformats.org/officeDocument/2006/relationships/hyperlink" Target="https://gfmts.training.ojp.gov/index.html" TargetMode="External"/><Relationship Id="rId2" Type="http://schemas.openxmlformats.org/officeDocument/2006/relationships/hyperlink" Target="https://www.swgdam.org/" TargetMode="External"/><Relationship Id="rId16" Type="http://schemas.openxmlformats.org/officeDocument/2006/relationships/hyperlink" Target="https://www.swgdam.org/_files/ugd/4344b0_288a858d850143d69a4f107086bcfaaf.pdf" TargetMode="External"/><Relationship Id="rId20" Type="http://schemas.openxmlformats.org/officeDocument/2006/relationships/hyperlink" Target="https://www.forensicstta.org/3rd-annual-bja-forensics-programs-grantees-meeting/" TargetMode="External"/><Relationship Id="rId29" Type="http://schemas.openxmlformats.org/officeDocument/2006/relationships/hyperlink" Target="https://www.sakitta.org/newsandevents/event-data/2025-03-17/index.cfm" TargetMode="External"/><Relationship Id="rId1" Type="http://schemas.openxmlformats.org/officeDocument/2006/relationships/hyperlink" Target="https://www.sakitta.org/newsandevents/event-data/2025-02-18/index.cfm" TargetMode="External"/><Relationship Id="rId6" Type="http://schemas.openxmlformats.org/officeDocument/2006/relationships/hyperlink" Target="https://www.ascld.org/ascld-annual-symposium/" TargetMode="External"/><Relationship Id="rId11" Type="http://schemas.openxmlformats.org/officeDocument/2006/relationships/hyperlink" Target="https://community.ndaa.org/events/event-description?CalendarEventKey=a4845c86-cb98-4c96-9b08-0193b6bbbc1f&amp;Home=%2fndaathrivesite%2fevents%2fcalendar" TargetMode="External"/><Relationship Id="rId24" Type="http://schemas.openxmlformats.org/officeDocument/2006/relationships/hyperlink" Target="https://gfmts.training.ojp.gov/index.html" TargetMode="External"/><Relationship Id="rId5" Type="http://schemas.openxmlformats.org/officeDocument/2006/relationships/hyperlink" Target="https://www.aafs.org/annual-conference" TargetMode="External"/><Relationship Id="rId15" Type="http://schemas.openxmlformats.org/officeDocument/2006/relationships/hyperlink" Target="https://na.eventscloud.com/website/74655/" TargetMode="External"/><Relationship Id="rId23" Type="http://schemas.openxmlformats.org/officeDocument/2006/relationships/hyperlink" Target="https://gfmts.training.ojp.gov/index.html" TargetMode="External"/><Relationship Id="rId28" Type="http://schemas.openxmlformats.org/officeDocument/2006/relationships/hyperlink" Target="https://www.sakitta.org/newsandevents/event-data/2025-03-17/index.cfm" TargetMode="External"/><Relationship Id="rId10" Type="http://schemas.openxmlformats.org/officeDocument/2006/relationships/hyperlink" Target="https://www.bodeconference.com/" TargetMode="External"/><Relationship Id="rId19" Type="http://schemas.openxmlformats.org/officeDocument/2006/relationships/hyperlink" Target="https://www.nist.gov/system/files/documents/2024/09/13/OSAC%20Research%20Needs%20Symposium_Feb%202025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ncjtc.fvtc.edu/trainings/TR00000143/TRI2422442/national-missing-and-unidentified-persons-conference" TargetMode="External"/><Relationship Id="rId9" Type="http://schemas.openxmlformats.org/officeDocument/2006/relationships/hyperlink" Target="https://ihia.org/event-5870535" TargetMode="External"/><Relationship Id="rId14" Type="http://schemas.openxmlformats.org/officeDocument/2006/relationships/hyperlink" Target="https://www.soft-tox.org/annual-meeting-information" TargetMode="External"/><Relationship Id="rId22" Type="http://schemas.openxmlformats.org/officeDocument/2006/relationships/hyperlink" Target="https://gfmts.training.ojp.gov/index.html" TargetMode="External"/><Relationship Id="rId27" Type="http://schemas.openxmlformats.org/officeDocument/2006/relationships/hyperlink" Target="https://www.theiacpconference.org/" TargetMode="External"/><Relationship Id="rId30" Type="http://schemas.openxmlformats.org/officeDocument/2006/relationships/hyperlink" Target="https://theiacme.com/page/2025AnnualConfer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63"/>
  <sheetViews>
    <sheetView showGridLines="0" tabSelected="1" zoomScale="40" zoomScaleNormal="40" workbookViewId="0">
      <selection activeCell="AL13" sqref="AL13"/>
    </sheetView>
  </sheetViews>
  <sheetFormatPr defaultColWidth="10.77734375" defaultRowHeight="44.1" customHeight="1"/>
  <cols>
    <col min="1" max="16384" width="10.77734375" style="12"/>
  </cols>
  <sheetData>
    <row r="1" spans="1:33" s="1" customFormat="1" ht="44.1" customHeight="1">
      <c r="B1" s="25" t="s">
        <v>0</v>
      </c>
      <c r="C1" s="25"/>
      <c r="D1" s="25"/>
      <c r="E1" s="25"/>
      <c r="F1" s="25"/>
      <c r="G1" s="25"/>
      <c r="H1" s="25"/>
      <c r="I1" s="25"/>
      <c r="J1" s="25"/>
      <c r="K1" s="9"/>
      <c r="L1" s="10"/>
      <c r="M1" s="11"/>
      <c r="N1" s="11"/>
      <c r="O1" s="11"/>
      <c r="P1" s="11"/>
      <c r="Q1" s="11"/>
      <c r="R1" s="11"/>
      <c r="S1" s="30"/>
      <c r="T1" s="11"/>
      <c r="U1" s="11"/>
      <c r="V1" s="11"/>
      <c r="W1" s="11"/>
      <c r="X1" s="11"/>
      <c r="Y1" s="11"/>
      <c r="Z1" s="11"/>
      <c r="AA1" s="11"/>
      <c r="AB1" s="11"/>
      <c r="AC1" s="64">
        <v>2025</v>
      </c>
      <c r="AD1" s="64"/>
      <c r="AE1" s="64"/>
      <c r="AF1" s="64"/>
      <c r="AG1" s="16"/>
    </row>
    <row r="2" spans="1:33" s="1" customFormat="1" ht="44.1" customHeight="1">
      <c r="B2" s="5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s="4" customFormat="1" ht="44.1" customHeight="1">
      <c r="B3" s="17"/>
      <c r="C3" s="15" t="s">
        <v>1</v>
      </c>
      <c r="H3" s="18"/>
      <c r="I3" s="15" t="s">
        <v>2</v>
      </c>
      <c r="L3" s="14"/>
      <c r="N3" s="19"/>
      <c r="O3" s="15" t="s">
        <v>3</v>
      </c>
    </row>
    <row r="4" spans="1:33" s="1" customFormat="1" ht="44.1" customHeight="1">
      <c r="B4" s="5"/>
      <c r="C4" s="2"/>
      <c r="D4" s="2"/>
      <c r="E4" s="2"/>
      <c r="F4" s="2"/>
      <c r="G4" s="2"/>
      <c r="H4" s="2"/>
      <c r="I4" s="2"/>
      <c r="J4" s="2"/>
      <c r="K4" s="2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s="13" customFormat="1" ht="44.1" customHeight="1">
      <c r="B5" s="66" t="s">
        <v>39</v>
      </c>
      <c r="C5" s="66"/>
      <c r="D5" s="66"/>
      <c r="E5" s="66"/>
      <c r="F5" s="66"/>
      <c r="G5" s="66"/>
      <c r="H5" s="66"/>
      <c r="I5" s="27"/>
      <c r="J5" s="66" t="s">
        <v>40</v>
      </c>
      <c r="K5" s="66"/>
      <c r="L5" s="66"/>
      <c r="M5" s="66"/>
      <c r="N5" s="66"/>
      <c r="O5" s="66"/>
      <c r="P5" s="66"/>
      <c r="Q5" s="27"/>
      <c r="R5" s="66" t="s">
        <v>41</v>
      </c>
      <c r="S5" s="66"/>
      <c r="T5" s="66"/>
      <c r="U5" s="66"/>
      <c r="V5" s="66"/>
      <c r="W5" s="66"/>
      <c r="X5" s="66"/>
      <c r="Y5" s="27"/>
      <c r="Z5" s="66" t="s">
        <v>42</v>
      </c>
      <c r="AA5" s="66"/>
      <c r="AB5" s="66"/>
      <c r="AC5" s="66"/>
      <c r="AD5" s="66"/>
      <c r="AE5" s="66"/>
      <c r="AF5" s="66"/>
    </row>
    <row r="6" spans="1:33" s="6" customFormat="1" ht="44.1" customHeight="1">
      <c r="A6" s="23"/>
      <c r="B6" s="34" t="s">
        <v>32</v>
      </c>
      <c r="C6" s="35" t="s">
        <v>33</v>
      </c>
      <c r="D6" s="35" t="s">
        <v>34</v>
      </c>
      <c r="E6" s="35" t="s">
        <v>35</v>
      </c>
      <c r="F6" s="35" t="s">
        <v>36</v>
      </c>
      <c r="G6" s="35" t="s">
        <v>37</v>
      </c>
      <c r="H6" s="36" t="s">
        <v>38</v>
      </c>
      <c r="I6" s="23"/>
      <c r="J6" s="34" t="s">
        <v>32</v>
      </c>
      <c r="K6" s="35" t="s">
        <v>33</v>
      </c>
      <c r="L6" s="35" t="s">
        <v>34</v>
      </c>
      <c r="M6" s="35" t="s">
        <v>35</v>
      </c>
      <c r="N6" s="35" t="s">
        <v>36</v>
      </c>
      <c r="O6" s="35" t="s">
        <v>37</v>
      </c>
      <c r="P6" s="36" t="s">
        <v>38</v>
      </c>
      <c r="Q6" s="23"/>
      <c r="R6" s="34" t="s">
        <v>32</v>
      </c>
      <c r="S6" s="35" t="s">
        <v>33</v>
      </c>
      <c r="T6" s="35" t="s">
        <v>34</v>
      </c>
      <c r="U6" s="35" t="s">
        <v>35</v>
      </c>
      <c r="V6" s="35" t="s">
        <v>36</v>
      </c>
      <c r="W6" s="35" t="s">
        <v>37</v>
      </c>
      <c r="X6" s="36" t="s">
        <v>38</v>
      </c>
      <c r="Y6" s="23"/>
      <c r="Z6" s="34" t="s">
        <v>32</v>
      </c>
      <c r="AA6" s="35" t="s">
        <v>33</v>
      </c>
      <c r="AB6" s="35" t="s">
        <v>34</v>
      </c>
      <c r="AC6" s="35" t="s">
        <v>35</v>
      </c>
      <c r="AD6" s="35" t="s">
        <v>36</v>
      </c>
      <c r="AE6" s="35" t="s">
        <v>37</v>
      </c>
      <c r="AF6" s="36" t="s">
        <v>38</v>
      </c>
    </row>
    <row r="7" spans="1:33" s="8" customFormat="1" ht="44.1" customHeight="1">
      <c r="A7" s="20"/>
      <c r="B7" s="37" t="str">
        <f>IF(DAY(JanSun1)=1,"",IF(AND(YEAR(JanSun1+1)=CalendarYear,MONTH(JanSun1+1)=1),JanSun1+1,""))</f>
        <v/>
      </c>
      <c r="C7" s="37" t="str">
        <f>IF(DAY(JanSun1)=1,"",IF(AND(YEAR(JanSun1+2)=CalendarYear,MONTH(JanSun1+2)=1),JanSun1+2,""))</f>
        <v/>
      </c>
      <c r="D7" s="38" t="str">
        <f>IF(DAY(JanSun1)=1,"",IF(AND(YEAR(JanSun1+3)=CalendarYear,MONTH(JanSun1+3)=1),JanSun1+3,""))</f>
        <v/>
      </c>
      <c r="E7" s="39">
        <f>IF(DAY(JanSun1)=1,"",IF(AND(YEAR(JanSun1+4)=CalendarYear,MONTH(JanSun1+4)=1),JanSun1+4,""))</f>
        <v>45658</v>
      </c>
      <c r="F7" s="38">
        <f>IF(DAY(JanSun1)=1,"",IF(AND(YEAR(JanSun1+5)=CalendarYear,MONTH(JanSun1+5)=1),JanSun1+5,""))</f>
        <v>45659</v>
      </c>
      <c r="G7" s="40">
        <f>IF(DAY(JanSun1)=1,"",IF(AND(YEAR(JanSun1+6)=CalendarYear,MONTH(JanSun1+6)=1),JanSun1+6,""))</f>
        <v>45660</v>
      </c>
      <c r="H7" s="40">
        <f>IF(DAY(JanSun1)=1,IF(AND(YEAR(JanSun1)=CalendarYear,MONTH(JanSun1)=1),JanSun1,""),IF(AND(YEAR(JanSun1+7)=CalendarYear,MONTH(JanSun1+7)=1),JanSun1+7,""))</f>
        <v>45661</v>
      </c>
      <c r="I7" s="20"/>
      <c r="J7" s="37" t="str">
        <f>IF(DAY(FebSun1)=1,"",IF(AND(YEAR(FebSun1+1)=CalendarYear,MONTH(FebSun1+1)=2),FebSun1+1,""))</f>
        <v/>
      </c>
      <c r="K7" s="37" t="str">
        <f>IF(DAY(FebSun1)=1,"",IF(AND(YEAR(FebSun1+2)=CalendarYear,MONTH(FebSun1+2)=2),FebSun1+2,""))</f>
        <v/>
      </c>
      <c r="L7" s="39" t="str">
        <f>IF(DAY(FebSun1)=1,"",IF(AND(YEAR(FebSun1+3)=CalendarYear,MONTH(FebSun1+3)=2),FebSun1+3,""))</f>
        <v/>
      </c>
      <c r="M7" s="39" t="str">
        <f>IF(DAY(FebSun1)=1,"",IF(AND(YEAR(FebSun1+4)=CalendarYear,MONTH(FebSun1+4)=2),FebSun1+4,""))</f>
        <v/>
      </c>
      <c r="N7" s="39" t="str">
        <f>IF(DAY(FebSun1)=1,"",IF(AND(YEAR(FebSun1+5)=CalendarYear,MONTH(FebSun1+5)=2),FebSun1+5,""))</f>
        <v/>
      </c>
      <c r="O7" s="40" t="str">
        <f>IF(DAY(FebSun1)=1,"",IF(AND(YEAR(FebSun1+6)=CalendarYear,MONTH(FebSun1+6)=2),FebSun1+6,""))</f>
        <v/>
      </c>
      <c r="P7" s="40">
        <f>IF(DAY(FebSun1)=1,IF(AND(YEAR(FebSun1)=CalendarYear,MONTH(FebSun1)=2),FebSun1,""),IF(AND(YEAR(FebSun1+7)=CalendarYear,MONTH(FebSun1+7)=2),FebSun1+7,""))</f>
        <v>45689</v>
      </c>
      <c r="Q7" s="20"/>
      <c r="R7" s="37" t="str">
        <f>IF(DAY(MarSun1)=1,"",IF(AND(YEAR(MarSun1+1)=CalendarYear,MONTH(MarSun1+1)=3),MarSun1+1,""))</f>
        <v/>
      </c>
      <c r="S7" s="37" t="str">
        <f>IF(DAY(MarSun1)=1,"",IF(AND(YEAR(MarSun1+2)=CalendarYear,MONTH(MarSun1+2)=3),MarSun1+2,""))</f>
        <v/>
      </c>
      <c r="T7" s="39" t="str">
        <f>IF(DAY(MarSun1)=1,"",IF(AND(YEAR(MarSun1+3)=CalendarYear,MONTH(MarSun1+3)=3),MarSun1+3,""))</f>
        <v/>
      </c>
      <c r="U7" s="39" t="str">
        <f>IF(DAY(MarSun1)=1,"",IF(AND(YEAR(MarSun1+4)=CalendarYear,MONTH(MarSun1+4)=3),MarSun1+4,""))</f>
        <v/>
      </c>
      <c r="V7" s="39" t="str">
        <f>IF(DAY(MarSun1)=1,"",IF(AND(YEAR(MarSun1+5)=CalendarYear,MONTH(MarSun1+5)=3),MarSun1+5,""))</f>
        <v/>
      </c>
      <c r="W7" s="40" t="str">
        <f>IF(DAY(MarSun1)=1,"",IF(AND(YEAR(MarSun1+6)=CalendarYear,MONTH(MarSun1+6)=3),MarSun1+6,""))</f>
        <v/>
      </c>
      <c r="X7" s="40">
        <f>IF(DAY(MarSun1)=1,IF(AND(YEAR(MarSun1)=CalendarYear,MONTH(MarSun1)=3),MarSun1,""),IF(AND(YEAR(MarSun1+7)=CalendarYear,MONTH(MarSun1+7)=3),MarSun1+7,""))</f>
        <v>45717</v>
      </c>
      <c r="Y7" s="20"/>
      <c r="Z7" s="37" t="str">
        <f>IF(DAY(AprSun1)=1,"",IF(AND(YEAR(AprSun1+1)=CalendarYear,MONTH(AprSun1+1)=4),AprSun1+1,""))</f>
        <v/>
      </c>
      <c r="AA7" s="37" t="str">
        <f>IF(DAY(AprSun1)=1,"",IF(AND(YEAR(AprSun1+2)=CalendarYear,MONTH(AprSun1+2)=4),AprSun1+2,""))</f>
        <v/>
      </c>
      <c r="AB7" s="39">
        <f>IF(DAY(AprSun1)=1,"",IF(AND(YEAR(AprSun1+3)=CalendarYear,MONTH(AprSun1+3)=4),AprSun1+3,""))</f>
        <v>45748</v>
      </c>
      <c r="AC7" s="39">
        <f>IF(DAY(AprSun1)=1,"",IF(AND(YEAR(AprSun1+4)=CalendarYear,MONTH(AprSun1+4)=4),AprSun1+4,""))</f>
        <v>45749</v>
      </c>
      <c r="AD7" s="52" t="s">
        <v>12</v>
      </c>
      <c r="AE7" s="52"/>
      <c r="AF7" s="52"/>
    </row>
    <row r="8" spans="1:33" s="8" customFormat="1" ht="44.1" customHeight="1">
      <c r="A8" s="20"/>
      <c r="B8" s="41">
        <f>IF(DAY(JanSun1)=1,IF(AND(YEAR(JanSun1+1)=CalendarYear,MONTH(JanSun1+1)=1),JanSun1+1,""),IF(AND(YEAR(JanSun1+8)=CalendarYear,MONTH(JanSun1+8)=1),JanSun1+8,""))</f>
        <v>45662</v>
      </c>
      <c r="C8" s="41">
        <f>IF(DAY(JanSun1)=1,IF(AND(YEAR(JanSun1+2)=CalendarYear,MONTH(JanSun1+2)=1),JanSun1+2,""),IF(AND(YEAR(JanSun1+9)=CalendarYear,MONTH(JanSun1+9)=1),JanSun1+9,""))</f>
        <v>45663</v>
      </c>
      <c r="D8" s="41">
        <f>IF(DAY(JanSun1)=1,IF(AND(YEAR(JanSun1+3)=CalendarYear,MONTH(JanSun1+3)=1),JanSun1+3,""),IF(AND(YEAR(JanSun1+10)=CalendarYear,MONTH(JanSun1+10)=1),JanSun1+10,""))</f>
        <v>45664</v>
      </c>
      <c r="E8" s="40">
        <f>IF(DAY(JanSun1)=1,IF(AND(YEAR(JanSun1+4)=CalendarYear,MONTH(JanSun1+4)=1),JanSun1+4,""),IF(AND(YEAR(JanSun1+11)=CalendarYear,MONTH(JanSun1+11)=1),JanSun1+11,""))</f>
        <v>45665</v>
      </c>
      <c r="F8" s="40">
        <f>IF(DAY(JanSun1)=1,IF(AND(YEAR(JanSun1+5)=CalendarYear,MONTH(JanSun1+5)=1),JanSun1+5,""),IF(AND(YEAR(JanSun1+12)=CalendarYear,MONTH(JanSun1+12)=1),JanSun1+12,""))</f>
        <v>45666</v>
      </c>
      <c r="G8" s="39">
        <f>IF(DAY(JanSun1)=1,IF(AND(YEAR(JanSun1+6)=CalendarYear,MONTH(JanSun1+6)=1),JanSun1+6,""),IF(AND(YEAR(JanSun1+13)=CalendarYear,MONTH(JanSun1+13)=1),JanSun1+13,""))</f>
        <v>45667</v>
      </c>
      <c r="H8" s="39">
        <f>IF(DAY(JanSun1)=1,IF(AND(YEAR(JanSun1+7)=CalendarYear,MONTH(JanSun1+7)=1),JanSun1+7,""),IF(AND(YEAR(JanSun1+14)=CalendarYear,MONTH(JanSun1+14)=1),JanSun1+14,""))</f>
        <v>45668</v>
      </c>
      <c r="I8" s="20"/>
      <c r="J8" s="41">
        <f>IF(DAY(FebSun1)=1,IF(AND(YEAR(FebSun1+1)=CalendarYear,MONTH(FebSun1+1)=2),FebSun1+1,""),IF(AND(YEAR(FebSun1+8)=CalendarYear,MONTH(FebSun1+8)=2),FebSun1+8,""))</f>
        <v>45690</v>
      </c>
      <c r="K8" s="41">
        <f>IF(DAY(FebSun1)=1,IF(AND(YEAR(FebSun1+2)=CalendarYear,MONTH(FebSun1+2)=2),FebSun1+2,""),IF(AND(YEAR(FebSun1+9)=CalendarYear,MONTH(FebSun1+9)=2),FebSun1+9,""))</f>
        <v>45691</v>
      </c>
      <c r="L8" s="52" t="s">
        <v>6</v>
      </c>
      <c r="M8" s="52"/>
      <c r="N8" s="40">
        <f>IF(DAY(FebSun1)=1,IF(AND(YEAR(FebSun1+5)=CalendarYear,MONTH(FebSun1+5)=2),FebSun1+5,""),IF(AND(YEAR(FebSun1+12)=CalendarYear,MONTH(FebSun1+12)=2),FebSun1+12,""))</f>
        <v>45694</v>
      </c>
      <c r="O8" s="39">
        <f>IF(DAY(FebSun1)=1,IF(AND(YEAR(FebSun1+6)=CalendarYear,MONTH(FebSun1+6)=2),FebSun1+6,""),IF(AND(YEAR(FebSun1+13)=CalendarYear,MONTH(FebSun1+13)=2),FebSun1+13,""))</f>
        <v>45695</v>
      </c>
      <c r="P8" s="39">
        <f>IF(DAY(FebSun1)=1,IF(AND(YEAR(FebSun1+7)=CalendarYear,MONTH(FebSun1+7)=2),FebSun1+7,""),IF(AND(YEAR(FebSun1+14)=CalendarYear,MONTH(FebSun1+14)=2),FebSun1+14,""))</f>
        <v>45696</v>
      </c>
      <c r="Q8" s="20"/>
      <c r="R8" s="41">
        <f>IF(DAY(MarSun1)=1,IF(AND(YEAR(MarSun1+1)=CalendarYear,MONTH(MarSun1+1)=3),MarSun1+1,""),IF(AND(YEAR(MarSun1+8)=CalendarYear,MONTH(MarSun1+8)=3),MarSun1+8,""))</f>
        <v>45718</v>
      </c>
      <c r="S8" s="41">
        <f>IF(DAY(MarSun1)=1,IF(AND(YEAR(MarSun1+2)=CalendarYear,MONTH(MarSun1+2)=3),MarSun1+2,""),IF(AND(YEAR(MarSun1+9)=CalendarYear,MONTH(MarSun1+9)=3),MarSun1+9,""))</f>
        <v>45719</v>
      </c>
      <c r="T8" s="38">
        <f>IF(DAY(MarSun1)=1,IF(AND(YEAR(MarSun1+3)=CalendarYear,MONTH(MarSun1+3)=3),MarSun1+3,""),IF(AND(YEAR(MarSun1+10)=CalendarYear,MONTH(MarSun1+10)=3),MarSun1+10,""))</f>
        <v>45720</v>
      </c>
      <c r="U8" s="40">
        <f>IF(DAY(MarSun1)=1,IF(AND(YEAR(MarSun1+4)=CalendarYear,MONTH(MarSun1+4)=3),MarSun1+4,""),IF(AND(YEAR(MarSun1+11)=CalendarYear,MONTH(MarSun1+11)=3),MarSun1+11,""))</f>
        <v>45721</v>
      </c>
      <c r="V8" s="40">
        <f>IF(DAY(MarSun1)=1,IF(AND(YEAR(MarSun1+5)=CalendarYear,MONTH(MarSun1+5)=3),MarSun1+5,""),IF(AND(YEAR(MarSun1+12)=CalendarYear,MONTH(MarSun1+12)=3),MarSun1+12,""))</f>
        <v>45722</v>
      </c>
      <c r="W8" s="39">
        <f>IF(DAY(MarSun1)=1,IF(AND(YEAR(MarSun1+6)=CalendarYear,MONTH(MarSun1+6)=3),MarSun1+6,""),IF(AND(YEAR(MarSun1+13)=CalendarYear,MONTH(MarSun1+13)=3),MarSun1+13,""))</f>
        <v>45723</v>
      </c>
      <c r="X8" s="39">
        <f>IF(DAY(MarSun1)=1,IF(AND(YEAR(MarSun1+7)=CalendarYear,MONTH(MarSun1+7)=3),MarSun1+7,""),IF(AND(YEAR(MarSun1+14)=CalendarYear,MONTH(MarSun1+14)=3),MarSun1+14,""))</f>
        <v>45724</v>
      </c>
      <c r="Y8" s="20"/>
      <c r="Z8" s="52" t="s">
        <v>13</v>
      </c>
      <c r="AA8" s="52"/>
      <c r="AB8" s="52"/>
      <c r="AC8" s="40">
        <f>IF(DAY(AprSun1)=1,IF(AND(YEAR(AprSun1+4)=CalendarYear,MONTH(AprSun1+4)=4),AprSun1+4,""),IF(AND(YEAR(AprSun1+11)=CalendarYear,MONTH(AprSun1+11)=4),AprSun1+11,""))</f>
        <v>45756</v>
      </c>
      <c r="AD8" s="40">
        <f>IF(DAY(AprSun1)=1,IF(AND(YEAR(AprSun1+5)=CalendarYear,MONTH(AprSun1+5)=4),AprSun1+5,""),IF(AND(YEAR(AprSun1+12)=CalendarYear,MONTH(AprSun1+12)=4),AprSun1+12,""))</f>
        <v>45757</v>
      </c>
      <c r="AE8" s="39">
        <f>IF(DAY(AprSun1)=1,IF(AND(YEAR(AprSun1+6)=CalendarYear,MONTH(AprSun1+6)=4),AprSun1+6,""),IF(AND(YEAR(AprSun1+13)=CalendarYear,MONTH(AprSun1+13)=4),AprSun1+13,""))</f>
        <v>45758</v>
      </c>
      <c r="AF8" s="39">
        <f>IF(DAY(AprSun1)=1,IF(AND(YEAR(AprSun1+7)=CalendarYear,MONTH(AprSun1+7)=4),AprSun1+7,""),IF(AND(YEAR(AprSun1+14)=CalendarYear,MONTH(AprSun1+14)=4),AprSun1+14,""))</f>
        <v>45759</v>
      </c>
    </row>
    <row r="9" spans="1:33" s="8" customFormat="1" ht="44.1" customHeight="1">
      <c r="A9" s="20"/>
      <c r="B9" s="40">
        <f>IF(DAY(JanSun1)=1,IF(AND(YEAR(JanSun1+8)=CalendarYear,MONTH(JanSun1+8)=1),JanSun1+8,""),IF(AND(YEAR(JanSun1+15)=CalendarYear,MONTH(JanSun1+15)=1),JanSun1+15,""))</f>
        <v>45669</v>
      </c>
      <c r="C9" s="53" t="s">
        <v>5</v>
      </c>
      <c r="D9" s="54"/>
      <c r="E9" s="54"/>
      <c r="F9" s="55"/>
      <c r="G9" s="38">
        <f>IF(DAY(JanSun1)=1,IF(AND(YEAR(JanSun1+13)=CalendarYear,MONTH(JanSun1+13)=1),JanSun1+13,""),IF(AND(YEAR(JanSun1+20)=CalendarYear,MONTH(JanSun1+20)=1),JanSun1+20,""))</f>
        <v>45674</v>
      </c>
      <c r="H9" s="40">
        <f>IF(DAY(JanSun1)=1,IF(AND(YEAR(JanSun1+14)=CalendarYear,MONTH(JanSun1+14)=1),JanSun1+14,""),IF(AND(YEAR(JanSun1+21)=CalendarYear,MONTH(JanSun1+21)=1),JanSun1+21,""))</f>
        <v>45675</v>
      </c>
      <c r="I9" s="20"/>
      <c r="J9" s="40">
        <f>IF(DAY(FebSun1)=1,IF(AND(YEAR(FebSun1+8)=CalendarYear,MONTH(FebSun1+8)=2),FebSun1+8,""),IF(AND(YEAR(FebSun1+15)=CalendarYear,MONTH(FebSun1+15)=2),FebSun1+15,""))</f>
        <v>45697</v>
      </c>
      <c r="K9" s="40">
        <f>IF(DAY(FebSun1)=1,IF(AND(YEAR(FebSun1+9)=CalendarYear,MONTH(FebSun1+9)=2),FebSun1+9,""),IF(AND(YEAR(FebSun1+16)=CalendarYear,MONTH(FebSun1+16)=2),FebSun1+16,""))</f>
        <v>45698</v>
      </c>
      <c r="L9" s="41">
        <f>IF(DAY(FebSun1)=1,IF(AND(YEAR(FebSun1+10)=CalendarYear,MONTH(FebSun1+10)=2),FebSun1+10,""),IF(AND(YEAR(FebSun1+17)=CalendarYear,MONTH(FebSun1+17)=2),FebSun1+17,""))</f>
        <v>45699</v>
      </c>
      <c r="M9" s="38">
        <f>IF(DAY(FebSun1)=1,IF(AND(YEAR(FebSun1+11)=CalendarYear,MONTH(FebSun1+11)=2),FebSun1+11,""),IF(AND(YEAR(FebSun1+18)=CalendarYear,MONTH(FebSun1+18)=2),FebSun1+18,""))</f>
        <v>45700</v>
      </c>
      <c r="N9" s="38">
        <f>IF(DAY(FebSun1)=1,IF(AND(YEAR(FebSun1+12)=CalendarYear,MONTH(FebSun1+12)=2),FebSun1+12,""),IF(AND(YEAR(FebSun1+19)=CalendarYear,MONTH(FebSun1+19)=2),FebSun1+19,""))</f>
        <v>45701</v>
      </c>
      <c r="O9" s="44">
        <f>IF(DAY(FebSun1)=1,IF(AND(YEAR(FebSun1+13)=CalendarYear,MONTH(FebSun1+13)=2),FebSun1+13,""),IF(AND(YEAR(FebSun1+20)=CalendarYear,MONTH(FebSun1+20)=2),FebSun1+20,""))</f>
        <v>45702</v>
      </c>
      <c r="P9" s="40">
        <f>IF(DAY(FebSun1)=1,IF(AND(YEAR(FebSun1+14)=CalendarYear,MONTH(FebSun1+14)=2),FebSun1+14,""),IF(AND(YEAR(FebSun1+21)=CalendarYear,MONTH(FebSun1+21)=2),FebSun1+21,""))</f>
        <v>45703</v>
      </c>
      <c r="Q9" s="20"/>
      <c r="R9" s="40">
        <f>IF(DAY(MarSun1)=1,IF(AND(YEAR(MarSun1+8)=CalendarYear,MONTH(MarSun1+8)=3),MarSun1+8,""),IF(AND(YEAR(MarSun1+15)=CalendarYear,MONTH(MarSun1+15)=3),MarSun1+15,""))</f>
        <v>45725</v>
      </c>
      <c r="S9" s="40">
        <f>IF(DAY(MarSun1)=1,IF(AND(YEAR(MarSun1+9)=CalendarYear,MONTH(MarSun1+9)=3),MarSun1+9,""),IF(AND(YEAR(MarSun1+16)=CalendarYear,MONTH(MarSun1+16)=3),MarSun1+16,""))</f>
        <v>45726</v>
      </c>
      <c r="T9" s="41">
        <f>IF(DAY(MarSun1)=1,IF(AND(YEAR(MarSun1+10)=CalendarYear,MONTH(MarSun1+10)=3),MarSun1+10,""),IF(AND(YEAR(MarSun1+17)=CalendarYear,MONTH(MarSun1+17)=3),MarSun1+17,""))</f>
        <v>45727</v>
      </c>
      <c r="U9" s="41">
        <f>IF(DAY(MarSun1)=1,IF(AND(YEAR(MarSun1+11)=CalendarYear,MONTH(MarSun1+11)=3),MarSun1+11,""),IF(AND(YEAR(MarSun1+18)=CalendarYear,MONTH(MarSun1+18)=3),MarSun1+18,""))</f>
        <v>45728</v>
      </c>
      <c r="V9" s="44">
        <f>IF(DAY(MarSun1)=1,IF(AND(YEAR(MarSun1+12)=CalendarYear,MONTH(MarSun1+12)=3),MarSun1+12,""),IF(AND(YEAR(MarSun1+19)=CalendarYear,MONTH(MarSun1+19)=3),MarSun1+19,""))</f>
        <v>45729</v>
      </c>
      <c r="W9" s="38">
        <f>IF(DAY(MarSun1)=1,IF(AND(YEAR(MarSun1+13)=CalendarYear,MONTH(MarSun1+13)=3),MarSun1+13,""),IF(AND(YEAR(MarSun1+20)=CalendarYear,MONTH(MarSun1+20)=3),MarSun1+20,""))</f>
        <v>45730</v>
      </c>
      <c r="X9" s="40">
        <f>IF(DAY(MarSun1)=1,IF(AND(YEAR(MarSun1+14)=CalendarYear,MONTH(MarSun1+14)=3),MarSun1+14,""),IF(AND(YEAR(MarSun1+21)=CalendarYear,MONTH(MarSun1+21)=3),MarSun1+21,""))</f>
        <v>45731</v>
      </c>
      <c r="Y9" s="20"/>
      <c r="Z9" s="40">
        <f>IF(DAY(AprSun1)=1,IF(AND(YEAR(AprSun1+8)=CalendarYear,MONTH(AprSun1+8)=4),AprSun1+8,""),IF(AND(YEAR(AprSun1+15)=CalendarYear,MONTH(AprSun1+15)=4),AprSun1+15,""))</f>
        <v>45760</v>
      </c>
      <c r="AA9" s="40">
        <f>IF(DAY(AprSun1)=1,IF(AND(YEAR(AprSun1+9)=CalendarYear,MONTH(AprSun1+9)=4),AprSun1+9,""),IF(AND(YEAR(AprSun1+16)=CalendarYear,MONTH(AprSun1+16)=4),AprSun1+16,""))</f>
        <v>45761</v>
      </c>
      <c r="AB9" s="52" t="s">
        <v>14</v>
      </c>
      <c r="AC9" s="52"/>
      <c r="AD9" s="52"/>
      <c r="AE9" s="44">
        <f>IF(DAY(AprSun1)=1,IF(AND(YEAR(AprSun1+13)=CalendarYear,MONTH(AprSun1+13)=4),AprSun1+13,""),IF(AND(YEAR(AprSun1+20)=CalendarYear,MONTH(AprSun1+20)=4),AprSun1+20,""))</f>
        <v>45765</v>
      </c>
      <c r="AF9" s="40">
        <f>IF(DAY(AprSun1)=1,IF(AND(YEAR(AprSun1+14)=CalendarYear,MONTH(AprSun1+14)=4),AprSun1+14,""),IF(AND(YEAR(AprSun1+21)=CalendarYear,MONTH(AprSun1+21)=4),AprSun1+21,""))</f>
        <v>45766</v>
      </c>
    </row>
    <row r="10" spans="1:33" s="8" customFormat="1" ht="44.1" customHeight="1">
      <c r="A10" s="20"/>
      <c r="B10" s="39">
        <f>IF(DAY(JanSun1)=1,IF(AND(YEAR(JanSun1+15)=CalendarYear,MONTH(JanSun1+15)=1),JanSun1+15,""),IF(AND(YEAR(JanSun1+22)=CalendarYear,MONTH(JanSun1+22)=1),JanSun1+22,""))</f>
        <v>45676</v>
      </c>
      <c r="C10" s="39">
        <f>IF(DAY(JanSun1)=1,IF(AND(YEAR(JanSun1+16)=CalendarYear,MONTH(JanSun1+16)=1),JanSun1+16,""),IF(AND(YEAR(JanSun1+23)=CalendarYear,MONTH(JanSun1+23)=1),JanSun1+23,""))</f>
        <v>45677</v>
      </c>
      <c r="D10" s="39">
        <f>IF(DAY(JanSun1)=1,IF(AND(YEAR(JanSun1+17)=CalendarYear,MONTH(JanSun1+17)=1),JanSun1+17,""),IF(AND(YEAR(JanSun1+24)=CalendarYear,MONTH(JanSun1+24)=1),JanSun1+24,""))</f>
        <v>45678</v>
      </c>
      <c r="E10" s="40">
        <f>IF(DAY(JanSun1)=1,IF(AND(YEAR(JanSun1+18)=CalendarYear,MONTH(JanSun1+18)=1),JanSun1+18,""),IF(AND(YEAR(JanSun1+25)=CalendarYear,MONTH(JanSun1+25)=1),JanSun1+25,""))</f>
        <v>45679</v>
      </c>
      <c r="F10" s="42">
        <f>IF(DAY(JanSun1)=1,IF(AND(YEAR(JanSun1+19)=CalendarYear,MONTH(JanSun1+19)=1),JanSun1+19,""),IF(AND(YEAR(JanSun1+26)=CalendarYear,MONTH(JanSun1+26)=1),JanSun1+26,""))</f>
        <v>45680</v>
      </c>
      <c r="G10" s="40">
        <f>IF(DAY(JanSun1)=1,IF(AND(YEAR(JanSun1+20)=CalendarYear,MONTH(JanSun1+20)=1),JanSun1+20,""),IF(AND(YEAR(JanSun1+27)=CalendarYear,MONTH(JanSun1+27)=1),JanSun1+27,""))</f>
        <v>45681</v>
      </c>
      <c r="H10" s="40">
        <f>IF(DAY(JanSun1)=1,IF(AND(YEAR(JanSun1+21)=CalendarYear,MONTH(JanSun1+21)=1),JanSun1+21,""),IF(AND(YEAR(JanSun1+28)=CalendarYear,MONTH(JanSun1+28)=1),JanSun1+28,""))</f>
        <v>45682</v>
      </c>
      <c r="I10" s="20"/>
      <c r="J10" s="39">
        <f>IF(DAY(FebSun1)=1,IF(AND(YEAR(FebSun1+15)=CalendarYear,MONTH(FebSun1+15)=2),FebSun1+15,""),IF(AND(YEAR(FebSun1+22)=CalendarYear,MONTH(FebSun1+22)=2),FebSun1+22,""))</f>
        <v>45704</v>
      </c>
      <c r="K10" s="45"/>
      <c r="L10" s="70" t="s">
        <v>8</v>
      </c>
      <c r="M10" s="70"/>
      <c r="N10" s="52" t="s">
        <v>7</v>
      </c>
      <c r="O10" s="52"/>
      <c r="P10" s="52"/>
      <c r="Q10" s="20"/>
      <c r="R10" s="39">
        <f>IF(DAY(MarSun1)=1,IF(AND(YEAR(MarSun1+15)=CalendarYear,MONTH(MarSun1+15)=3),MarSun1+15,""),IF(AND(YEAR(MarSun1+22)=CalendarYear,MONTH(MarSun1+22)=3),MarSun1+22,""))</f>
        <v>45732</v>
      </c>
      <c r="S10" s="39">
        <v>17</v>
      </c>
      <c r="T10" s="58" t="s">
        <v>27</v>
      </c>
      <c r="U10" s="59"/>
      <c r="V10" s="39">
        <v>20</v>
      </c>
      <c r="W10" s="39">
        <v>21</v>
      </c>
      <c r="X10" s="40">
        <f>IF(DAY(MarSun1)=1,IF(AND(YEAR(MarSun1+21)=CalendarYear,MONTH(MarSun1+21)=3),MarSun1+21,""),IF(AND(YEAR(MarSun1+28)=CalendarYear,MONTH(MarSun1+28)=3),MarSun1+28,""))</f>
        <v>45738</v>
      </c>
      <c r="Y10" s="20"/>
      <c r="Z10" s="39">
        <f>IF(DAY(AprSun1)=1,IF(AND(YEAR(AprSun1+15)=CalendarYear,MONTH(AprSun1+15)=4),AprSun1+15,""),IF(AND(YEAR(AprSun1+22)=CalendarYear,MONTH(AprSun1+22)=4),AprSun1+22,""))</f>
        <v>45767</v>
      </c>
      <c r="AA10" s="39">
        <f>IF(DAY(AprSun1)=1,IF(AND(YEAR(AprSun1+16)=CalendarYear,MONTH(AprSun1+16)=4),AprSun1+16,""),IF(AND(YEAR(AprSun1+23)=CalendarYear,MONTH(AprSun1+23)=4),AprSun1+23,""))</f>
        <v>45768</v>
      </c>
      <c r="AB10" s="39">
        <f>IF(DAY(AprSun1)=1,IF(AND(YEAR(AprSun1+17)=CalendarYear,MONTH(AprSun1+17)=4),AprSun1+17,""),IF(AND(YEAR(AprSun1+24)=CalendarYear,MONTH(AprSun1+24)=4),AprSun1+24,""))</f>
        <v>45769</v>
      </c>
      <c r="AC10" s="40">
        <f>IF(DAY(AprSun1)=1,IF(AND(YEAR(AprSun1+18)=CalendarYear,MONTH(AprSun1+18)=4),AprSun1+18,""),IF(AND(YEAR(AprSun1+25)=CalendarYear,MONTH(AprSun1+25)=4),AprSun1+25,""))</f>
        <v>45770</v>
      </c>
      <c r="AD10" s="42">
        <f>IF(DAY(AprSun1)=1,IF(AND(YEAR(AprSun1+19)=CalendarYear,MONTH(AprSun1+19)=4),AprSun1+19,""),IF(AND(YEAR(AprSun1+26)=CalendarYear,MONTH(AprSun1+26)=4),AprSun1+26,""))</f>
        <v>45771</v>
      </c>
      <c r="AE10" s="40">
        <f>IF(DAY(AprSun1)=1,IF(AND(YEAR(AprSun1+20)=CalendarYear,MONTH(AprSun1+20)=4),AprSun1+20,""),IF(AND(YEAR(AprSun1+27)=CalendarYear,MONTH(AprSun1+27)=4),AprSun1+27,""))</f>
        <v>45772</v>
      </c>
      <c r="AF10" s="40">
        <f>IF(DAY(AprSun1)=1,IF(AND(YEAR(AprSun1+21)=CalendarYear,MONTH(AprSun1+21)=4),AprSun1+21,""),IF(AND(YEAR(AprSun1+28)=CalendarYear,MONTH(AprSun1+28)=4),AprSun1+28,""))</f>
        <v>45773</v>
      </c>
    </row>
    <row r="11" spans="1:33" s="8" customFormat="1" ht="44.1" customHeight="1">
      <c r="A11" s="20"/>
      <c r="B11" s="41">
        <f>IF(DAY(JanSun1)=1,IF(AND(YEAR(JanSun1+22)=CalendarYear,MONTH(JanSun1+22)=1),JanSun1+22,""),IF(AND(YEAR(JanSun1+29)=CalendarYear,MONTH(JanSun1+29)=1),JanSun1+29,""))</f>
        <v>45683</v>
      </c>
      <c r="C11" s="41">
        <f>IF(DAY(JanSun1)=1,IF(AND(YEAR(JanSun1+23)=CalendarYear,MONTH(JanSun1+23)=1),JanSun1+23,""),IF(AND(YEAR(JanSun1+30)=CalendarYear,MONTH(JanSun1+30)=1),JanSun1+30,""))</f>
        <v>45684</v>
      </c>
      <c r="D11" s="43">
        <f>IF(DAY(JanSun1)=1,IF(AND(YEAR(JanSun1+24)=CalendarYear,MONTH(JanSun1+24)=1),JanSun1+24,""),IF(AND(YEAR(JanSun1+31)=CalendarYear,MONTH(JanSun1+31)=1),JanSun1+31,""))</f>
        <v>45685</v>
      </c>
      <c r="E11" s="43">
        <f>IF(DAY(JanSun1)=1,IF(AND(YEAR(JanSun1+25)=CalendarYear,MONTH(JanSun1+25)=1),JanSun1+25,""),IF(AND(YEAR(JanSun1+32)=CalendarYear,MONTH(JanSun1+32)=1),JanSun1+32,""))</f>
        <v>45686</v>
      </c>
      <c r="F11" s="43">
        <f>IF(DAY(JanSun1)=1,IF(AND(YEAR(JanSun1+26)=CalendarYear,MONTH(JanSun1+26)=1),JanSun1+26,""),IF(AND(YEAR(JanSun1+33)=CalendarYear,MONTH(JanSun1+33)=1),JanSun1+33,""))</f>
        <v>45687</v>
      </c>
      <c r="G11" s="37">
        <f>IF(DAY(JanSun1)=1,IF(AND(YEAR(JanSun1+27)=CalendarYear,MONTH(JanSun1+27)=1),JanSun1+27,""),IF(AND(YEAR(JanSun1+34)=CalendarYear,MONTH(JanSun1+34)=1),JanSun1+34,""))</f>
        <v>45688</v>
      </c>
      <c r="H11" s="37" t="str">
        <f>IF(DAY(JanSun1)=1,IF(AND(YEAR(JanSun1+28)=CalendarYear,MONTH(JanSun1+28)=1),JanSun1+28,""),IF(AND(YEAR(JanSun1+35)=CalendarYear,MONTH(JanSun1+35)=1),JanSun1+35,""))</f>
        <v/>
      </c>
      <c r="I11" s="20"/>
      <c r="J11" s="41">
        <f>IF(DAY(FebSun1)=1,IF(AND(YEAR(FebSun1+22)=CalendarYear,MONTH(FebSun1+22)=2),FebSun1+22,""),IF(AND(YEAR(FebSun1+29)=CalendarYear,MONTH(FebSun1+29)=2),FebSun1+29,""))</f>
        <v>45711</v>
      </c>
      <c r="K11" s="41">
        <f>IF(DAY(FebSun1)=1,IF(AND(YEAR(FebSun1+23)=CalendarYear,MONTH(FebSun1+23)=2),FebSun1+23,""),IF(AND(YEAR(FebSun1+30)=CalendarYear,MONTH(FebSun1+30)=2),FebSun1+30,""))</f>
        <v>45712</v>
      </c>
      <c r="L11" s="43">
        <f>IF(DAY(FebSun1)=1,IF(AND(YEAR(FebSun1+24)=CalendarYear,MONTH(FebSun1+24)=2),FebSun1+24,""),IF(AND(YEAR(FebSun1+31)=CalendarYear,MONTH(FebSun1+31)=2),FebSun1+31,""))</f>
        <v>45713</v>
      </c>
      <c r="M11" s="43">
        <f>IF(DAY(FebSun1)=1,IF(AND(YEAR(FebSun1+25)=CalendarYear,MONTH(FebSun1+25)=2),FebSun1+25,""),IF(AND(YEAR(FebSun1+32)=CalendarYear,MONTH(FebSun1+32)=2),FebSun1+32,""))</f>
        <v>45714</v>
      </c>
      <c r="N11" s="48" t="s">
        <v>15</v>
      </c>
      <c r="O11" s="37">
        <f>IF(DAY(FebSun1)=1,IF(AND(YEAR(FebSun1+27)=CalendarYear,MONTH(FebSun1+27)=2),FebSun1+27,""),IF(AND(YEAR(FebSun1+34)=CalendarYear,MONTH(FebSun1+34)=2),FebSun1+34,""))</f>
        <v>45716</v>
      </c>
      <c r="P11" s="37" t="str">
        <f>IF(DAY(FebSun1)=1,IF(AND(YEAR(FebSun1+28)=CalendarYear,MONTH(FebSun1+28)=2),FebSun1+28,""),IF(AND(YEAR(FebSun1+35)=CalendarYear,MONTH(FebSun1+35)=2),FebSun1+35,""))</f>
        <v/>
      </c>
      <c r="Q11" s="20"/>
      <c r="R11" s="41">
        <f>IF(DAY(MarSun1)=1,IF(AND(YEAR(MarSun1+22)=CalendarYear,MONTH(MarSun1+22)=3),MarSun1+22,""),IF(AND(YEAR(MarSun1+29)=CalendarYear,MONTH(MarSun1+29)=3),MarSun1+29,""))</f>
        <v>45739</v>
      </c>
      <c r="S11" s="41">
        <f>IF(DAY(MarSun1)=1,IF(AND(YEAR(MarSun1+23)=CalendarYear,MONTH(MarSun1+23)=3),MarSun1+23,""),IF(AND(YEAR(MarSun1+30)=CalendarYear,MONTH(MarSun1+30)=3),MarSun1+30,""))</f>
        <v>45740</v>
      </c>
      <c r="T11" s="41">
        <f>IF(DAY(MaySun1)=1,IF(AND(YEAR(MaySun1+22)=CalendarYear,MONTH(MaySun1+22)=5),MaySun1+22,""),IF(AND(YEAR(MaySun1+29)=CalendarYear,MONTH(MaySun1+29)=5),MaySun1+29,""))</f>
        <v>45802</v>
      </c>
      <c r="U11" s="41">
        <f>IF(DAY(MaySun1)=1,IF(AND(YEAR(MaySun1+23)=CalendarYear,MONTH(MaySun1+23)=5),MaySun1+23,""),IF(AND(YEAR(MaySun1+30)=CalendarYear,MONTH(MaySun1+30)=5),MaySun1+30,""))</f>
        <v>45803</v>
      </c>
      <c r="V11" s="43">
        <f>IF(DAY(MaySun1)=1,IF(AND(YEAR(MaySun1+24)=CalendarYear,MONTH(MaySun1+24)=5),MaySun1+24,""),IF(AND(YEAR(MaySun1+31)=CalendarYear,MONTH(MaySun1+31)=5),MaySun1+31,""))</f>
        <v>45804</v>
      </c>
      <c r="W11" s="37">
        <f>IF(DAY(MarSun1)=1,IF(AND(YEAR(MarSun1+27)=CalendarYear,MONTH(MarSun1+27)=3),MarSun1+27,""),IF(AND(YEAR(MarSun1+34)=CalendarYear,MONTH(MarSun1+34)=3),MarSun1+34,""))</f>
        <v>45744</v>
      </c>
      <c r="X11" s="37">
        <f>IF(DAY(MarSun1)=1,IF(AND(YEAR(MarSun1+28)=CalendarYear,MONTH(MarSun1+28)=3),MarSun1+28,""),IF(AND(YEAR(MarSun1+35)=CalendarYear,MONTH(MarSun1+35)=3),MarSun1+35,""))</f>
        <v>45745</v>
      </c>
      <c r="Y11" s="20"/>
      <c r="Z11" s="41">
        <f>IF(DAY(AprSun1)=1,IF(AND(YEAR(AprSun1+22)=CalendarYear,MONTH(AprSun1+22)=4),AprSun1+22,""),IF(AND(YEAR(AprSun1+29)=CalendarYear,MONTH(AprSun1+29)=4),AprSun1+29,""))</f>
        <v>45774</v>
      </c>
      <c r="AA11" s="47" t="s">
        <v>10</v>
      </c>
      <c r="AB11" s="58" t="s">
        <v>29</v>
      </c>
      <c r="AC11" s="59"/>
      <c r="AD11" s="43" t="str">
        <f>IF(DAY(AprSun1)=1,IF(AND(YEAR(AprSun1+33)=CalendarYear,MONTH(AprSun1+33)=4),AprSun1+33,""),IF(AND(YEAR(AprSun1+40)=CalendarYear,MONTH(AprSun1+40)=4),AprSun1+40,""))</f>
        <v/>
      </c>
      <c r="AE11" s="43" t="str">
        <f>IF(DAY(AprSun1)=1,IF(AND(YEAR(AprSun1+33)=CalendarYear,MONTH(AprSun1+33)=4),AprSun1+33,""),IF(AND(YEAR(AprSun1+40)=CalendarYear,MONTH(AprSun1+40)=4),AprSun1+40,""))</f>
        <v/>
      </c>
      <c r="AF11" s="37" t="str">
        <f>IF(DAY(AprSun1)=1,IF(AND(YEAR(AprSun1+28)=CalendarYear,MONTH(AprSun1+28)=4),AprSun1+28,""),IF(AND(YEAR(AprSun1+35)=CalendarYear,MONTH(AprSun1+35)=4),AprSun1+35,""))</f>
        <v/>
      </c>
    </row>
    <row r="12" spans="1:33" s="8" customFormat="1" ht="44.1" customHeight="1">
      <c r="A12" s="20"/>
      <c r="B12" s="41" t="str">
        <f>IF(DAY(JanSun1)=1,IF(AND(YEAR(JanSun1+29)=CalendarYear,MONTH(JanSun1+29)=1),JanSun1+29,""),IF(AND(YEAR(JanSun1+36)=CalendarYear,MONTH(JanSun1+36)=1),JanSun1+36,""))</f>
        <v/>
      </c>
      <c r="C12" s="41" t="str">
        <f>IF(DAY(JanSun1)=1,IF(AND(YEAR(JanSun1+30)=CalendarYear,MONTH(JanSun1+30)=1),JanSun1+30,""),IF(AND(YEAR(JanSun1+37)=CalendarYear,MONTH(JanSun1+37)=1),JanSun1+37,""))</f>
        <v/>
      </c>
      <c r="D12" s="43" t="str">
        <f>IF(DAY(JanSun1)=1,IF(AND(YEAR(JanSun1+31)=CalendarYear,MONTH(JanSun1+31)=1),JanSun1+31,""),IF(AND(YEAR(JanSun1+38)=CalendarYear,MONTH(JanSun1+38)=1),JanSun1+38,""))</f>
        <v/>
      </c>
      <c r="E12" s="43" t="str">
        <f>IF(DAY(JanSun1)=1,IF(AND(YEAR(JanSun1+32)=CalendarYear,MONTH(JanSun1+32)=1),JanSun1+32,""),IF(AND(YEAR(JanSun1+39)=CalendarYear,MONTH(JanSun1+39)=1),JanSun1+39,""))</f>
        <v/>
      </c>
      <c r="F12" s="43" t="str">
        <f>IF(DAY(JanSun1)=1,IF(AND(YEAR(JanSun1+33)=CalendarYear,MONTH(JanSun1+33)=1),JanSun1+33,""),IF(AND(YEAR(JanSun1+40)=CalendarYear,MONTH(JanSun1+40)=1),JanSun1+40,""))</f>
        <v/>
      </c>
      <c r="G12" s="37" t="str">
        <f>IF(DAY(JanSun1)=1,IF(AND(YEAR(JanSun1+34)=CalendarYear,MONTH(JanSun1+34)=1),JanSun1+34,""),IF(AND(YEAR(JanSun1+41)=CalendarYear,MONTH(JanSun1+41)=1),JanSun1+41,""))</f>
        <v/>
      </c>
      <c r="H12" s="37" t="str">
        <f>IF(DAY(JanSun1)=1,IF(AND(YEAR(JanSun1+35)=CalendarYear,MONTH(JanSun1+35)=1),JanSun1+35,""),IF(AND(YEAR(JanSun1+42)=CalendarYear,MONTH(JanSun1+42)=1),JanSun1+42,""))</f>
        <v/>
      </c>
      <c r="I12" s="20"/>
      <c r="J12" s="41" t="str">
        <f>IF(DAY(FebSun1)=1,IF(AND(YEAR(FebSun1+29)=CalendarYear,MONTH(FebSun1+29)=2),FebSun1+29,""),IF(AND(YEAR(FebSun1+36)=CalendarYear,MONTH(FebSun1+36)=2),FebSun1+36,""))</f>
        <v/>
      </c>
      <c r="K12" s="41" t="str">
        <f>IF(DAY(FebSun1)=1,IF(AND(YEAR(FebSun1+30)=CalendarYear,MONTH(FebSun1+30)=2),FebSun1+30,""),IF(AND(YEAR(FebSun1+37)=CalendarYear,MONTH(FebSun1+37)=2),FebSun1+37,""))</f>
        <v/>
      </c>
      <c r="L12" s="43" t="str">
        <f>IF(DAY(FebSun1)=1,IF(AND(YEAR(FebSun1+31)=CalendarYear,MONTH(FebSun1+31)=2),FebSun1+31,""),IF(AND(YEAR(FebSun1+38)=CalendarYear,MONTH(FebSun1+38)=2),FebSun1+38,""))</f>
        <v/>
      </c>
      <c r="M12" s="43" t="str">
        <f>IF(DAY(FebSun1)=1,IF(AND(YEAR(FebSun1+32)=CalendarYear,MONTH(FebSun1+32)=2),FebSun1+32,""),IF(AND(YEAR(FebSun1+39)=CalendarYear,MONTH(FebSun1+39)=2),FebSun1+39,""))</f>
        <v/>
      </c>
      <c r="N12" s="43" t="str">
        <f>IF(DAY(FebSun1)=1,IF(AND(YEAR(FebSun1+33)=CalendarYear,MONTH(FebSun1+33)=2),FebSun1+33,""),IF(AND(YEAR(FebSun1+40)=CalendarYear,MONTH(FebSun1+40)=2),FebSun1+40,""))</f>
        <v/>
      </c>
      <c r="O12" s="37" t="str">
        <f>IF(DAY(FebSun1)=1,IF(AND(YEAR(FebSun1+34)=CalendarYear,MONTH(FebSun1+34)=2),FebSun1+34,""),IF(AND(YEAR(FebSun1+41)=CalendarYear,MONTH(FebSun1+41)=2),FebSun1+41,""))</f>
        <v/>
      </c>
      <c r="P12" s="37" t="str">
        <f>IF(DAY(FebSun1)=1,IF(AND(YEAR(FebSun1+35)=CalendarYear,MONTH(FebSun1+35)=2),FebSun1+35,""),IF(AND(YEAR(FebSun1+42)=CalendarYear,MONTH(FebSun1+42)=2),FebSun1+42,""))</f>
        <v/>
      </c>
      <c r="Q12" s="20"/>
      <c r="R12" s="41">
        <f>IF(DAY(MarSun1)=1,IF(AND(YEAR(MarSun1+29)=CalendarYear,MONTH(MarSun1+29)=3),MarSun1+29,""),IF(AND(YEAR(MarSun1+36)=CalendarYear,MONTH(MarSun1+36)=3),MarSun1+36,""))</f>
        <v>45746</v>
      </c>
      <c r="S12" s="41">
        <f>IF(DAY(MarSun1)=1,IF(AND(YEAR(MarSun1+30)=CalendarYear,MONTH(MarSun1+30)=3),MarSun1+30,""),IF(AND(YEAR(MarSun1+37)=CalendarYear,MONTH(MarSun1+37)=3),MarSun1+37,""))</f>
        <v>45747</v>
      </c>
      <c r="T12" s="43" t="str">
        <f>IF(DAY(MarSun1)=1,IF(AND(YEAR(MarSun1+31)=CalendarYear,MONTH(MarSun1+31)=3),MarSun1+31,""),IF(AND(YEAR(MarSun1+38)=CalendarYear,MONTH(MarSun1+38)=3),MarSun1+38,""))</f>
        <v/>
      </c>
      <c r="U12" s="43" t="str">
        <f>IF(DAY(MarSun1)=1,IF(AND(YEAR(MarSun1+32)=CalendarYear,MONTH(MarSun1+32)=3),MarSun1+32,""),IF(AND(YEAR(MarSun1+39)=CalendarYear,MONTH(MarSun1+39)=3),MarSun1+39,""))</f>
        <v/>
      </c>
      <c r="V12" s="43" t="str">
        <f>IF(DAY(MarSun1)=1,IF(AND(YEAR(MarSun1+33)=CalendarYear,MONTH(MarSun1+33)=3),MarSun1+33,""),IF(AND(YEAR(MarSun1+40)=CalendarYear,MONTH(MarSun1+40)=3),MarSun1+40,""))</f>
        <v/>
      </c>
      <c r="W12" s="37" t="str">
        <f>IF(DAY(MarSun1)=1,IF(AND(YEAR(MarSun1+34)=CalendarYear,MONTH(MarSun1+34)=3),MarSun1+34,""),IF(AND(YEAR(MarSun1+41)=CalendarYear,MONTH(MarSun1+41)=3),MarSun1+41,""))</f>
        <v/>
      </c>
      <c r="X12" s="37" t="str">
        <f>IF(DAY(MarSun1)=1,IF(AND(YEAR(MarSun1+35)=CalendarYear,MONTH(MarSun1+35)=3),MarSun1+35,""),IF(AND(YEAR(MarSun1+42)=CalendarYear,MONTH(MarSun1+42)=3),MarSun1+42,""))</f>
        <v/>
      </c>
      <c r="Y12" s="20"/>
      <c r="Z12" s="41" t="str">
        <f>IF(DAY(AprSun1)=1,IF(AND(YEAR(AprSun1+29)=CalendarYear,MONTH(AprSun1+29)=4),AprSun1+29,""),IF(AND(YEAR(AprSun1+36)=CalendarYear,MONTH(AprSun1+36)=4),AprSun1+36,""))</f>
        <v/>
      </c>
      <c r="AA12" s="41" t="str">
        <f>IF(DAY(AprSun1)=1,IF(AND(YEAR(AprSun1+30)=CalendarYear,MONTH(AprSun1+30)=4),AprSun1+30,""),IF(AND(YEAR(AprSun1+37)=CalendarYear,MONTH(AprSun1+37)=4),AprSun1+37,""))</f>
        <v/>
      </c>
      <c r="AB12" s="43" t="str">
        <f>IF(DAY(AprSun1)=1,IF(AND(YEAR(AprSun1+31)=CalendarYear,MONTH(AprSun1+31)=4),AprSun1+31,""),IF(AND(YEAR(AprSun1+38)=CalendarYear,MONTH(AprSun1+38)=4),AprSun1+38,""))</f>
        <v/>
      </c>
      <c r="AC12" s="43" t="str">
        <f>IF(DAY(AprSun1)=1,IF(AND(YEAR(AprSun1+32)=CalendarYear,MONTH(AprSun1+32)=4),AprSun1+32,""),IF(AND(YEAR(AprSun1+39)=CalendarYear,MONTH(AprSun1+39)=4),AprSun1+39,""))</f>
        <v/>
      </c>
      <c r="AD12" s="43" t="str">
        <f>IF(DAY(AprSun1)=1,IF(AND(YEAR(AprSun1+33)=CalendarYear,MONTH(AprSun1+33)=4),AprSun1+33,""),IF(AND(YEAR(AprSun1+40)=CalendarYear,MONTH(AprSun1+40)=4),AprSun1+40,""))</f>
        <v/>
      </c>
      <c r="AE12" s="37" t="str">
        <f>IF(DAY(AprSun1)=1,IF(AND(YEAR(AprSun1+34)=CalendarYear,MONTH(AprSun1+34)=4),AprSun1+34,""),IF(AND(YEAR(AprSun1+41)=CalendarYear,MONTH(AprSun1+41)=4),AprSun1+41,""))</f>
        <v/>
      </c>
      <c r="AF12" s="37" t="str">
        <f>IF(DAY(AprSun1)=1,IF(AND(YEAR(AprSun1+35)=CalendarYear,MONTH(AprSun1+35)=4),AprSun1+35,""),IF(AND(YEAR(AprSun1+42)=CalendarYear,MONTH(AprSun1+42)=4),AprSun1+42,""))</f>
        <v/>
      </c>
    </row>
    <row r="13" spans="1:33" s="7" customFormat="1" ht="44.1" customHeight="1">
      <c r="A13" s="21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33" s="13" customFormat="1" ht="44.1" customHeight="1">
      <c r="A14" s="22"/>
      <c r="B14" s="66" t="s">
        <v>49</v>
      </c>
      <c r="C14" s="66"/>
      <c r="D14" s="66"/>
      <c r="E14" s="66"/>
      <c r="F14" s="66"/>
      <c r="G14" s="66"/>
      <c r="H14" s="66"/>
      <c r="I14" s="28"/>
      <c r="J14" s="66" t="s">
        <v>50</v>
      </c>
      <c r="K14" s="66"/>
      <c r="L14" s="66"/>
      <c r="M14" s="66"/>
      <c r="N14" s="66"/>
      <c r="O14" s="66"/>
      <c r="P14" s="66"/>
      <c r="Q14" s="28"/>
      <c r="R14" s="66" t="s">
        <v>43</v>
      </c>
      <c r="S14" s="66"/>
      <c r="T14" s="66"/>
      <c r="U14" s="66"/>
      <c r="V14" s="66"/>
      <c r="W14" s="66"/>
      <c r="X14" s="66"/>
      <c r="Y14" s="28"/>
      <c r="Z14" s="66" t="s">
        <v>44</v>
      </c>
      <c r="AA14" s="66"/>
      <c r="AB14" s="66"/>
      <c r="AC14" s="66"/>
      <c r="AD14" s="66"/>
      <c r="AE14" s="66"/>
      <c r="AF14" s="66"/>
    </row>
    <row r="15" spans="1:33" s="6" customFormat="1" ht="44.1" customHeight="1">
      <c r="A15" s="23"/>
      <c r="B15" s="34" t="s">
        <v>32</v>
      </c>
      <c r="C15" s="35" t="s">
        <v>33</v>
      </c>
      <c r="D15" s="35" t="s">
        <v>34</v>
      </c>
      <c r="E15" s="35" t="s">
        <v>35</v>
      </c>
      <c r="F15" s="35" t="s">
        <v>36</v>
      </c>
      <c r="G15" s="35" t="s">
        <v>37</v>
      </c>
      <c r="H15" s="36" t="s">
        <v>38</v>
      </c>
      <c r="I15" s="24"/>
      <c r="J15" s="34" t="s">
        <v>32</v>
      </c>
      <c r="K15" s="35" t="s">
        <v>33</v>
      </c>
      <c r="L15" s="35" t="s">
        <v>34</v>
      </c>
      <c r="M15" s="35" t="s">
        <v>35</v>
      </c>
      <c r="N15" s="35" t="s">
        <v>36</v>
      </c>
      <c r="O15" s="35" t="s">
        <v>37</v>
      </c>
      <c r="P15" s="36" t="s">
        <v>38</v>
      </c>
      <c r="Q15" s="24"/>
      <c r="R15" s="34" t="s">
        <v>32</v>
      </c>
      <c r="S15" s="35" t="s">
        <v>33</v>
      </c>
      <c r="T15" s="35" t="s">
        <v>34</v>
      </c>
      <c r="U15" s="35" t="s">
        <v>35</v>
      </c>
      <c r="V15" s="35" t="s">
        <v>36</v>
      </c>
      <c r="W15" s="35" t="s">
        <v>37</v>
      </c>
      <c r="X15" s="36" t="s">
        <v>38</v>
      </c>
      <c r="Y15" s="24"/>
      <c r="Z15" s="34" t="s">
        <v>32</v>
      </c>
      <c r="AA15" s="35" t="s">
        <v>33</v>
      </c>
      <c r="AB15" s="35" t="s">
        <v>34</v>
      </c>
      <c r="AC15" s="35" t="s">
        <v>35</v>
      </c>
      <c r="AD15" s="35" t="s">
        <v>36</v>
      </c>
      <c r="AE15" s="35" t="s">
        <v>37</v>
      </c>
      <c r="AF15" s="36" t="s">
        <v>38</v>
      </c>
    </row>
    <row r="16" spans="1:33" s="8" customFormat="1" ht="44.1" customHeight="1">
      <c r="A16" s="20"/>
      <c r="B16" s="37" t="str">
        <f>IF(DAY(MaySun1)=1,"",IF(AND(YEAR(MaySun1+1)=CalendarYear,MONTH(MaySun1+1)=5),MaySun1+1,""))</f>
        <v/>
      </c>
      <c r="C16" s="37" t="str">
        <f>IF(DAY(MaySun1)=1,"",IF(AND(YEAR(MaySun1+2)=CalendarYear,MONTH(MaySun1+2)=5),MaySun1+2,""))</f>
        <v/>
      </c>
      <c r="D16" s="39" t="str">
        <f>IF(DAY(MaySun1)=1,"",IF(AND(YEAR(MaySun1+3)=CalendarYear,MONTH(MaySun1+3)=5),MaySun1+3,""))</f>
        <v/>
      </c>
      <c r="E16" s="39" t="str">
        <f>IF(DAY(MaySun1)=1,"",IF(AND(YEAR(MaySun1+4)=CalendarYear,MONTH(MaySun1+4)=5),MaySun1+4,""))</f>
        <v/>
      </c>
      <c r="F16" s="56" t="s">
        <v>9</v>
      </c>
      <c r="G16" s="57"/>
      <c r="H16" s="39">
        <f>IF(DAY(JulSun1)=1,"",IF(AND(YEAR(JulSun1+5)=CalendarYear,MONTH(JulSun1+5)=7),JulSun1+5,""))</f>
        <v>45841</v>
      </c>
      <c r="I16" s="20"/>
      <c r="J16" s="37">
        <f>IF(DAY(JunSun1)=1,"",IF(AND(YEAR(JunSun1+1)=CalendarYear,MONTH(JunSun1+1)=6),JunSun1+1,""))</f>
        <v>45809</v>
      </c>
      <c r="K16" s="37">
        <f>IF(DAY(JunSun1)=1,"",IF(AND(YEAR(JunSun1+2)=CalendarYear,MONTH(JunSun1+2)=6),JunSun1+2,""))</f>
        <v>45810</v>
      </c>
      <c r="L16" s="50" t="s">
        <v>19</v>
      </c>
      <c r="M16" s="50"/>
      <c r="N16" s="50"/>
      <c r="O16" s="50"/>
      <c r="P16" s="40">
        <f>IF(DAY(JunSun1)=1,IF(AND(YEAR(JunSun1)=CalendarYear,MONTH(JunSun1)=6),JunSun1,""),IF(AND(YEAR(JunSun1+7)=CalendarYear,MONTH(JunSun1+7)=6),JunSun1+7,""))</f>
        <v>45815</v>
      </c>
      <c r="Q16" s="20"/>
      <c r="R16" s="37" t="str">
        <f>IF(DAY(JulSun1)=1,"",IF(AND(YEAR(JulSun1+1)=CalendarYear,MONTH(JulSun1+1)=7),JulSun1+1,""))</f>
        <v/>
      </c>
      <c r="S16" s="37" t="str">
        <f>IF(DAY(JulSun1)=1,"",IF(AND(YEAR(JulSun1+2)=CalendarYear,MONTH(JulSun1+2)=7),JulSun1+2,""))</f>
        <v/>
      </c>
      <c r="T16" s="39">
        <f>IF(DAY(JulSun1)=1,"",IF(AND(YEAR(JulSun1+3)=CalendarYear,MONTH(JulSun1+3)=7),JulSun1+3,""))</f>
        <v>45839</v>
      </c>
      <c r="U16" s="39">
        <f>IF(DAY(JulSun1)=1,"",IF(AND(YEAR(JulSun1+4)=CalendarYear,MONTH(JulSun1+4)=7),JulSun1+4,""))</f>
        <v>45840</v>
      </c>
      <c r="V16" s="39">
        <f>IF(DAY(JulSun1)=1,"",IF(AND(YEAR(JulSun1+5)=CalendarYear,MONTH(JulSun1+5)=7),JulSun1+5,""))</f>
        <v>45841</v>
      </c>
      <c r="W16" s="40">
        <f>IF(DAY(JulSun1)=1,"",IF(AND(YEAR(JulSun1+6)=CalendarYear,MONTH(JulSun1+6)=7),JulSun1+6,""))</f>
        <v>45842</v>
      </c>
      <c r="X16" s="40">
        <f>IF(DAY(JulSun1)=1,IF(AND(YEAR(JulSun1)=CalendarYear,MONTH(JulSun1)=7),JulSun1,""),IF(AND(YEAR(JulSun1+7)=CalendarYear,MONTH(JulSun1+7)=7),JulSun1+7,""))</f>
        <v>45843</v>
      </c>
      <c r="Y16" s="20"/>
      <c r="Z16" s="37" t="str">
        <f>IF(DAY(AugSun1)=1,"",IF(AND(YEAR(AugSun1+1)=CalendarYear,MONTH(AugSun1+1)=8),AugSun1+1,""))</f>
        <v/>
      </c>
      <c r="AA16" s="37" t="str">
        <f>IF(DAY(AugSun1)=1,"",IF(AND(YEAR(AugSun1+2)=CalendarYear,MONTH(AugSun1+2)=8),AugSun1+2,""))</f>
        <v/>
      </c>
      <c r="AB16" s="39" t="str">
        <f>IF(DAY(AugSun1)=1,"",IF(AND(YEAR(AugSun1+3)=CalendarYear,MONTH(AugSun1+3)=8),AugSun1+3,""))</f>
        <v/>
      </c>
      <c r="AC16" s="39" t="str">
        <f>IF(DAY(AugSun1)=1,"",IF(AND(YEAR(AugSun1+4)=CalendarYear,MONTH(AugSun1+4)=8),AugSun1+4,""))</f>
        <v/>
      </c>
      <c r="AD16" s="39" t="str">
        <f>IF(DAY(AugSun1)=1,"",IF(AND(YEAR(AugSun1+5)=CalendarYear,MONTH(AugSun1+5)=8),AugSun1+5,""))</f>
        <v/>
      </c>
      <c r="AE16" s="40">
        <f>IF(DAY(AugSun1)=1,"",IF(AND(YEAR(AugSun1+6)=CalendarYear,MONTH(AugSun1+6)=8),AugSun1+6,""))</f>
        <v>45870</v>
      </c>
      <c r="AF16" s="40">
        <f>IF(DAY(AugSun1)=1,IF(AND(YEAR(AugSun1)=CalendarYear,MONTH(AugSun1)=8),AugSun1,""),IF(AND(YEAR(AugSun1+7)=CalendarYear,MONTH(AugSun1+7)=8),AugSun1+7,""))</f>
        <v>45871</v>
      </c>
    </row>
    <row r="17" spans="1:32" s="8" customFormat="1" ht="44.1" customHeight="1">
      <c r="A17" s="20"/>
      <c r="B17" s="41">
        <f>IF(DAY(MaySun1)=1,IF(AND(YEAR(MaySun1+1)=CalendarYear,MONTH(MaySun1+1)=5),MaySun1+1,""),IF(AND(YEAR(MaySun1+8)=CalendarYear,MONTH(MaySun1+8)=5),MaySun1+8,""))</f>
        <v>45781</v>
      </c>
      <c r="C17" s="38">
        <f>IF(DAY(MaySun1)=1,IF(AND(YEAR(MaySun1+2)=CalendarYear,MONTH(MaySun1+2)=5),MaySun1+2,""),IF(AND(YEAR(MaySun1+9)=CalendarYear,MONTH(MaySun1+9)=5),MaySun1+9,""))</f>
        <v>45782</v>
      </c>
      <c r="D17" s="65" t="s">
        <v>16</v>
      </c>
      <c r="E17" s="65"/>
      <c r="F17" s="65"/>
      <c r="G17" s="39">
        <f>IF(DAY(MaySun1)=1,IF(AND(YEAR(MaySun1+6)=CalendarYear,MONTH(MaySun1+6)=5),MaySun1+6,""),IF(AND(YEAR(MaySun1+13)=CalendarYear,MONTH(MaySun1+13)=5),MaySun1+13,""))</f>
        <v>45786</v>
      </c>
      <c r="H17" s="39">
        <f>IF(DAY(MaySun1)=1,IF(AND(YEAR(MaySun1+7)=CalendarYear,MONTH(MaySun1+7)=5),MaySun1+7,""),IF(AND(YEAR(MaySun1+14)=CalendarYear,MONTH(MaySun1+14)=5),MaySun1+14,""))</f>
        <v>45787</v>
      </c>
      <c r="I17" s="20"/>
      <c r="J17" s="41">
        <f>IF(DAY(JunSun1)=1,IF(AND(YEAR(JunSun1+1)=CalendarYear,MONTH(JunSun1+1)=6),JunSun1+1,""),IF(AND(YEAR(JunSun1+8)=CalendarYear,MONTH(JunSun1+8)=6),JunSun1+8,""))</f>
        <v>45816</v>
      </c>
      <c r="K17" s="51" t="s">
        <v>20</v>
      </c>
      <c r="L17" s="51"/>
      <c r="M17" s="40">
        <f>IF(DAY(JunSun1)=1,IF(AND(YEAR(JunSun1+4)=CalendarYear,MONTH(JunSun1+4)=6),JunSun1+4,""),IF(AND(YEAR(JunSun1+11)=CalendarYear,MONTH(JunSun1+11)=6),JunSun1+11,""))</f>
        <v>45819</v>
      </c>
      <c r="N17" s="40">
        <f>IF(DAY(JunSun1)=1,IF(AND(YEAR(JunSun1+5)=CalendarYear,MONTH(JunSun1+5)=6),JunSun1+5,""),IF(AND(YEAR(JunSun1+12)=CalendarYear,MONTH(JunSun1+12)=6),JunSun1+12,""))</f>
        <v>45820</v>
      </c>
      <c r="O17" s="39">
        <f>IF(DAY(JunSun1)=1,IF(AND(YEAR(JunSun1+6)=CalendarYear,MONTH(JunSun1+6)=6),JunSun1+6,""),IF(AND(YEAR(JunSun1+13)=CalendarYear,MONTH(JunSun1+13)=6),JunSun1+13,""))</f>
        <v>45821</v>
      </c>
      <c r="P17" s="39">
        <f>IF(DAY(JunSun1)=1,IF(AND(YEAR(JunSun1+7)=CalendarYear,MONTH(JunSun1+7)=6),JunSun1+7,""),IF(AND(YEAR(JunSun1+14)=CalendarYear,MONTH(JunSun1+14)=6),JunSun1+14,""))</f>
        <v>45822</v>
      </c>
      <c r="Q17" s="20"/>
      <c r="R17" s="41">
        <f>IF(DAY(JulSun1)=1,IF(AND(YEAR(JulSun1+1)=CalendarYear,MONTH(JulSun1+1)=7),JulSun1+1,""),IF(AND(YEAR(JulSun1+8)=CalendarYear,MONTH(JulSun1+8)=7),JulSun1+8,""))</f>
        <v>45844</v>
      </c>
      <c r="S17" s="67" t="s">
        <v>9</v>
      </c>
      <c r="T17" s="67"/>
      <c r="U17" s="67"/>
      <c r="V17" s="67"/>
      <c r="W17" s="67"/>
      <c r="X17" s="38">
        <f>IF(DAY(JulSun1)=1,IF(AND(YEAR(JulSun1+7)=CalendarYear,MONTH(JulSun1+7)=7),JulSun1+7,""),IF(AND(YEAR(JulSun1+14)=CalendarYear,MONTH(JulSun1+14)=7),JulSun1+14,""))</f>
        <v>45850</v>
      </c>
      <c r="Y17" s="20"/>
      <c r="Z17" s="52" t="s">
        <v>22</v>
      </c>
      <c r="AA17" s="52"/>
      <c r="AB17" s="52"/>
      <c r="AC17" s="52"/>
      <c r="AD17" s="52"/>
      <c r="AE17" s="52"/>
      <c r="AF17" s="39">
        <f>IF(DAY(AugSun1)=1,IF(AND(YEAR(AugSun1+7)=CalendarYear,MONTH(AugSun1+7)=8),AugSun1+7,""),IF(AND(YEAR(AugSun1+14)=CalendarYear,MONTH(AugSun1+14)=8),AugSun1+14,""))</f>
        <v>45878</v>
      </c>
    </row>
    <row r="18" spans="1:32" s="8" customFormat="1" ht="44.1" customHeight="1">
      <c r="A18" s="20"/>
      <c r="B18" s="52" t="s">
        <v>17</v>
      </c>
      <c r="C18" s="52"/>
      <c r="D18" s="52"/>
      <c r="E18" s="52"/>
      <c r="F18" s="52"/>
      <c r="G18" s="52"/>
      <c r="H18" s="40">
        <f>IF(DAY(MaySun1)=1,IF(AND(YEAR(MaySun1+14)=CalendarYear,MONTH(MaySun1+14)=5),MaySun1+14,""),IF(AND(YEAR(MaySun1+21)=CalendarYear,MONTH(MaySun1+21)=5),MaySun1+21,""))</f>
        <v>45794</v>
      </c>
      <c r="I18" s="20"/>
      <c r="J18" s="40">
        <f>IF(DAY(JunSun1)=1,IF(AND(YEAR(JunSun1+8)=CalendarYear,MONTH(JunSun1+8)=6),JunSun1+8,""),IF(AND(YEAR(JunSun1+15)=CalendarYear,MONTH(JunSun1+15)=6),JunSun1+15,""))</f>
        <v>45823</v>
      </c>
      <c r="K18" s="40">
        <f>IF(DAY(JunSun1)=1,IF(AND(YEAR(JunSun1+9)=CalendarYear,MONTH(JunSun1+9)=6),JunSun1+9,""),IF(AND(YEAR(JunSun1+16)=CalendarYear,MONTH(JunSun1+16)=6),JunSun1+16,""))</f>
        <v>45824</v>
      </c>
      <c r="L18" s="41">
        <f>IF(DAY(JunSun1)=1,IF(AND(YEAR(JunSun1+10)=CalendarYear,MONTH(JunSun1+10)=6),JunSun1+10,""),IF(AND(YEAR(JunSun1+17)=CalendarYear,MONTH(JunSun1+17)=6),JunSun1+17,""))</f>
        <v>45825</v>
      </c>
      <c r="M18" s="41">
        <f>IF(DAY(JunSun1)=1,IF(AND(YEAR(JunSun1+11)=CalendarYear,MONTH(JunSun1+11)=6),JunSun1+11,""),IF(AND(YEAR(JunSun1+18)=CalendarYear,MONTH(JunSun1+18)=6),JunSun1+18,""))</f>
        <v>45826</v>
      </c>
      <c r="N18" s="44">
        <f>IF(DAY(JunSun1)=1,IF(AND(YEAR(JunSun1+12)=CalendarYear,MONTH(JunSun1+12)=6),JunSun1+12,""),IF(AND(YEAR(JunSun1+19)=CalendarYear,MONTH(JunSun1+19)=6),JunSun1+19,""))</f>
        <v>45827</v>
      </c>
      <c r="O18" s="44">
        <f>IF(DAY(JunSun1)=1,IF(AND(YEAR(JunSun1+13)=CalendarYear,MONTH(JunSun1+13)=6),JunSun1+13,""),IF(AND(YEAR(JunSun1+20)=CalendarYear,MONTH(JunSun1+20)=6),JunSun1+20,""))</f>
        <v>45828</v>
      </c>
      <c r="P18" s="40">
        <f>IF(DAY(JunSun1)=1,IF(AND(YEAR(JunSun1+14)=CalendarYear,MONTH(JunSun1+14)=6),JunSun1+14,""),IF(AND(YEAR(JunSun1+21)=CalendarYear,MONTH(JunSun1+21)=6),JunSun1+21,""))</f>
        <v>45829</v>
      </c>
      <c r="Q18" s="20"/>
      <c r="R18" s="40">
        <f>IF(DAY(JulSun1)=1,IF(AND(YEAR(JulSun1+8)=CalendarYear,MONTH(JulSun1+8)=7),JulSun1+8,""),IF(AND(YEAR(JulSun1+15)=CalendarYear,MONTH(JulSun1+15)=7),JulSun1+15,""))</f>
        <v>45851</v>
      </c>
      <c r="S18" s="38">
        <f>IF(DAY(JulSun1)=1,IF(AND(YEAR(JulSun1+9)=CalendarYear,MONTH(JulSun1+9)=7),JulSun1+9,""),IF(AND(YEAR(JulSun1+16)=CalendarYear,MONTH(JulSun1+16)=7),JulSun1+16,""))</f>
        <v>45852</v>
      </c>
      <c r="T18" s="65" t="s">
        <v>5</v>
      </c>
      <c r="U18" s="65"/>
      <c r="V18" s="65"/>
      <c r="W18" s="44">
        <f>IF(DAY(JulSun1)=1,IF(AND(YEAR(JulSun1+13)=CalendarYear,MONTH(JulSun1+13)=7),JulSun1+13,""),IF(AND(YEAR(JulSun1+20)=CalendarYear,MONTH(JulSun1+20)=7),JulSun1+20,""))</f>
        <v>45856</v>
      </c>
      <c r="X18" s="40">
        <f>IF(DAY(JulSun1)=1,IF(AND(YEAR(JulSun1+14)=CalendarYear,MONTH(JulSun1+14)=7),JulSun1+14,""),IF(AND(YEAR(JulSun1+21)=CalendarYear,MONTH(JulSun1+21)=7),JulSun1+21,""))</f>
        <v>45857</v>
      </c>
      <c r="Y18" s="20"/>
      <c r="Z18" s="50" t="s">
        <v>23</v>
      </c>
      <c r="AA18" s="50"/>
      <c r="AB18" s="50"/>
      <c r="AC18" s="50"/>
      <c r="AD18" s="50"/>
      <c r="AE18" s="50"/>
      <c r="AF18" s="50"/>
    </row>
    <row r="19" spans="1:32" s="8" customFormat="1" ht="44.1" customHeight="1">
      <c r="A19" s="20"/>
      <c r="B19" s="39">
        <f>IF(DAY(MaySun1)=1,IF(AND(YEAR(MaySun1+15)=CalendarYear,MONTH(MaySun1+15)=5),MaySun1+15,""),IF(AND(YEAR(MaySun1+22)=CalendarYear,MONTH(MaySun1+22)=5),MaySun1+22,""))</f>
        <v>45795</v>
      </c>
      <c r="C19" s="52" t="s">
        <v>18</v>
      </c>
      <c r="D19" s="52"/>
      <c r="E19" s="52"/>
      <c r="F19" s="52"/>
      <c r="G19" s="40">
        <f>IF(DAY(MaySun1)=1,IF(AND(YEAR(MaySun1+20)=CalendarYear,MONTH(MaySun1+20)=5),MaySun1+20,""),IF(AND(YEAR(MaySun1+27)=CalendarYear,MONTH(MaySun1+27)=5),MaySun1+27,""))</f>
        <v>45800</v>
      </c>
      <c r="H19" s="40">
        <f>IF(DAY(MaySun1)=1,IF(AND(YEAR(MaySun1+21)=CalendarYear,MONTH(MaySun1+21)=5),MaySun1+21,""),IF(AND(YEAR(MaySun1+28)=CalendarYear,MONTH(MaySun1+28)=5),MaySun1+28,""))</f>
        <v>45801</v>
      </c>
      <c r="I19" s="20"/>
      <c r="J19" s="39">
        <f>IF(DAY(JunSun1)=1,IF(AND(YEAR(JunSun1+15)=CalendarYear,MONTH(JunSun1+15)=6),JunSun1+15,""),IF(AND(YEAR(JunSun1+22)=CalendarYear,MONTH(JunSun1+22)=6),JunSun1+22,""))</f>
        <v>45830</v>
      </c>
      <c r="K19" s="39">
        <f>IF(DAY(JunSun1)=1,IF(AND(YEAR(JunSun1+16)=CalendarYear,MONTH(JunSun1+16)=6),JunSun1+16,""),IF(AND(YEAR(JunSun1+23)=CalendarYear,MONTH(JunSun1+23)=6),JunSun1+23,""))</f>
        <v>45831</v>
      </c>
      <c r="L19" s="58" t="s">
        <v>26</v>
      </c>
      <c r="M19" s="59"/>
      <c r="N19" s="42">
        <f>IF(DAY(JunSun1)=1,IF(AND(YEAR(JunSun1+19)=CalendarYear,MONTH(JunSun1+19)=6),JunSun1+19,""),IF(AND(YEAR(JunSun1+26)=CalendarYear,MONTH(JunSun1+26)=6),JunSun1+26,""))</f>
        <v>45834</v>
      </c>
      <c r="O19" s="40">
        <f>IF(DAY(JunSun1)=1,IF(AND(YEAR(JunSun1+20)=CalendarYear,MONTH(JunSun1+20)=6),JunSun1+20,""),IF(AND(YEAR(JunSun1+27)=CalendarYear,MONTH(JunSun1+27)=6),JunSun1+27,""))</f>
        <v>45835</v>
      </c>
      <c r="P19" s="40">
        <f>IF(DAY(JunSun1)=1,IF(AND(YEAR(JunSun1+21)=CalendarYear,MONTH(JunSun1+21)=6),JunSun1+21,""),IF(AND(YEAR(JunSun1+28)=CalendarYear,MONTH(JunSun1+28)=6),JunSun1+28,""))</f>
        <v>45836</v>
      </c>
      <c r="Q19" s="20"/>
      <c r="R19" s="60" t="s">
        <v>21</v>
      </c>
      <c r="S19" s="61"/>
      <c r="T19" s="68" t="s">
        <v>30</v>
      </c>
      <c r="U19" s="69"/>
      <c r="V19" s="49"/>
      <c r="W19" s="40">
        <f>IF(DAY(JulSun1)=1,IF(AND(YEAR(JulSun1+20)=CalendarYear,MONTH(JulSun1+20)=7),JulSun1+20,""),IF(AND(YEAR(JulSun1+27)=CalendarYear,MONTH(JulSun1+27)=7),JulSun1+27,""))</f>
        <v>45863</v>
      </c>
      <c r="X19" s="40">
        <f>IF(DAY(JulSun1)=1,IF(AND(YEAR(JulSun1+21)=CalendarYear,MONTH(JulSun1+21)=7),JulSun1+21,""),IF(AND(YEAR(JulSun1+28)=CalendarYear,MONTH(JulSun1+28)=7),JulSun1+28,""))</f>
        <v>45864</v>
      </c>
      <c r="Y19" s="20"/>
      <c r="Z19" s="39">
        <f>IF(DAY(AugSun1)=1,IF(AND(YEAR(AugSun1+15)=CalendarYear,MONTH(AugSun1+15)=8),AugSun1+15,""),IF(AND(YEAR(AugSun1+22)=CalendarYear,MONTH(AugSun1+22)=8),AugSun1+22,""))</f>
        <v>45886</v>
      </c>
      <c r="AA19" s="67" t="s">
        <v>11</v>
      </c>
      <c r="AB19" s="67"/>
      <c r="AC19" s="67"/>
      <c r="AD19" s="67"/>
      <c r="AE19" s="67"/>
      <c r="AF19" s="38">
        <f>IF(DAY(AugSun1)=1,IF(AND(YEAR(AugSun1+21)=CalendarYear,MONTH(AugSun1+21)=8),AugSun1+21,""),IF(AND(YEAR(AugSun1+28)=CalendarYear,MONTH(AugSun1+28)=8),AugSun1+28,""))</f>
        <v>45892</v>
      </c>
    </row>
    <row r="20" spans="1:32" s="8" customFormat="1" ht="44.1" customHeight="1">
      <c r="A20" s="20"/>
      <c r="B20" s="41">
        <f>IF(DAY(MaySun1)=1,IF(AND(YEAR(MaySun1+22)=CalendarYear,MONTH(MaySun1+22)=5),MaySun1+22,""),IF(AND(YEAR(MaySun1+29)=CalendarYear,MONTH(MaySun1+29)=5),MaySun1+29,""))</f>
        <v>45802</v>
      </c>
      <c r="C20" s="41">
        <f>IF(DAY(MaySun1)=1,IF(AND(YEAR(MaySun1+23)=CalendarYear,MONTH(MaySun1+23)=5),MaySun1+23,""),IF(AND(YEAR(MaySun1+30)=CalendarYear,MONTH(MaySun1+30)=5),MaySun1+30,""))</f>
        <v>45803</v>
      </c>
      <c r="D20" s="43">
        <f>IF(DAY(MaySun1)=1,IF(AND(YEAR(MaySun1+24)=CalendarYear,MONTH(MaySun1+24)=5),MaySun1+24,""),IF(AND(YEAR(MaySun1+31)=CalendarYear,MONTH(MaySun1+31)=5),MaySun1+31,""))</f>
        <v>45804</v>
      </c>
      <c r="E20" s="43">
        <f>IF(DAY(MaySun1)=1,IF(AND(YEAR(MaySun1+25)=CalendarYear,MONTH(MaySun1+25)=5),MaySun1+25,""),IF(AND(YEAR(MaySun1+32)=CalendarYear,MONTH(MaySun1+32)=5),MaySun1+32,""))</f>
        <v>45805</v>
      </c>
      <c r="F20" s="43">
        <f>IF(DAY(MaySun1)=1,IF(AND(YEAR(MaySun1+26)=CalendarYear,MONTH(MaySun1+26)=5),MaySun1+26,""),IF(AND(YEAR(MaySun1+33)=CalendarYear,MONTH(MaySun1+33)=5),MaySun1+33,""))</f>
        <v>45806</v>
      </c>
      <c r="G20" s="37">
        <f>IF(DAY(MaySun1)=1,IF(AND(YEAR(MaySun1+27)=CalendarYear,MONTH(MaySun1+27)=5),MaySun1+27,""),IF(AND(YEAR(MaySun1+34)=CalendarYear,MONTH(MaySun1+34)=5),MaySun1+34,""))</f>
        <v>45807</v>
      </c>
      <c r="H20" s="37">
        <f>IF(DAY(MaySun1)=1,IF(AND(YEAR(MaySun1+28)=CalendarYear,MONTH(MaySun1+28)=5),MaySun1+28,""),IF(AND(YEAR(MaySun1+35)=CalendarYear,MONTH(MaySun1+35)=5),MaySun1+35,""))</f>
        <v>45808</v>
      </c>
      <c r="I20" s="20"/>
      <c r="J20" s="41">
        <f>IF(DAY(JunSun1)=1,IF(AND(YEAR(JunSun1+22)=CalendarYear,MONTH(JunSun1+22)=6),JunSun1+22,""),IF(AND(YEAR(JunSun1+29)=CalendarYear,MONTH(JunSun1+29)=6),JunSun1+29,""))</f>
        <v>45837</v>
      </c>
      <c r="K20" s="41">
        <f>IF(DAY(JunSun1)=1,IF(AND(YEAR(JunSun1+23)=CalendarYear,MONTH(JunSun1+23)=6),JunSun1+23,""),IF(AND(YEAR(JunSun1+30)=CalendarYear,MONTH(JunSun1+30)=6),JunSun1+30,""))</f>
        <v>45838</v>
      </c>
      <c r="L20" s="43" t="str">
        <f>IF(DAY(JunSun1)=1,IF(AND(YEAR(JunSun1+24)=CalendarYear,MONTH(JunSun1+24)=6),JunSun1+24,""),IF(AND(YEAR(JunSun1+31)=CalendarYear,MONTH(JunSun1+31)=6),JunSun1+31,""))</f>
        <v/>
      </c>
      <c r="M20" s="43" t="str">
        <f>IF(DAY(JunSun1)=1,IF(AND(YEAR(JunSun1+25)=CalendarYear,MONTH(JunSun1+25)=6),JunSun1+25,""),IF(AND(YEAR(JunSun1+32)=CalendarYear,MONTH(JunSun1+32)=6),JunSun1+32,""))</f>
        <v/>
      </c>
      <c r="N20" s="43" t="str">
        <f>IF(DAY(JunSun1)=1,IF(AND(YEAR(JunSun1+26)=CalendarYear,MONTH(JunSun1+26)=6),JunSun1+26,""),IF(AND(YEAR(JunSun1+33)=CalendarYear,MONTH(JunSun1+33)=6),JunSun1+33,""))</f>
        <v/>
      </c>
      <c r="O20" s="37" t="str">
        <f>IF(DAY(JunSun1)=1,IF(AND(YEAR(JunSun1+27)=CalendarYear,MONTH(JunSun1+27)=6),JunSun1+27,""),IF(AND(YEAR(JunSun1+34)=CalendarYear,MONTH(JunSun1+34)=6),JunSun1+34,""))</f>
        <v/>
      </c>
      <c r="P20" s="37" t="str">
        <f>IF(DAY(JunSun1)=1,IF(AND(YEAR(JunSun1+28)=CalendarYear,MONTH(JunSun1+28)=6),JunSun1+28,""),IF(AND(YEAR(JunSun1+35)=CalendarYear,MONTH(JunSun1+35)=6),JunSun1+35,""))</f>
        <v/>
      </c>
      <c r="Q20" s="20"/>
      <c r="R20" s="41">
        <f>IF(DAY(JulSun1)=1,IF(AND(YEAR(JulSun1+22)=CalendarYear,MONTH(JulSun1+22)=7),JulSun1+22,""),IF(AND(YEAR(JulSun1+29)=CalendarYear,MONTH(JulSun1+29)=7),JulSun1+29,""))</f>
        <v>45865</v>
      </c>
      <c r="S20" s="41">
        <f>IF(DAY(JulSun1)=1,IF(AND(YEAR(JulSun1+23)=CalendarYear,MONTH(JulSun1+23)=7),JulSun1+23,""),IF(AND(YEAR(JulSun1+30)=CalendarYear,MONTH(JulSun1+30)=7),JulSun1+30,""))</f>
        <v>45866</v>
      </c>
      <c r="T20" s="43">
        <f>IF(DAY(JulSun1)=1,IF(AND(YEAR(JulSun1+24)=CalendarYear,MONTH(JulSun1+24)=7),JulSun1+24,""),IF(AND(YEAR(JulSun1+31)=CalendarYear,MONTH(JulSun1+31)=7),JulSun1+31,""))</f>
        <v>45867</v>
      </c>
      <c r="U20" s="43">
        <f>IF(DAY(JulSun1)=1,IF(AND(YEAR(JulSun1+25)=CalendarYear,MONTH(JulSun1+25)=7),JulSun1+25,""),IF(AND(YEAR(JulSun1+32)=CalendarYear,MONTH(JulSun1+32)=7),JulSun1+32,""))</f>
        <v>45868</v>
      </c>
      <c r="V20" s="43">
        <f>IF(DAY(JulSun1)=1,IF(AND(YEAR(JulSun1+26)=CalendarYear,MONTH(JulSun1+26)=7),JulSun1+26,""),IF(AND(YEAR(JulSun1+33)=CalendarYear,MONTH(JulSun1+33)=7),JulSun1+33,""))</f>
        <v>45869</v>
      </c>
      <c r="W20" s="37" t="str">
        <f>IF(DAY(JulSun1)=1,IF(AND(YEAR(JulSun1+27)=CalendarYear,MONTH(JulSun1+27)=7),JulSun1+27,""),IF(AND(YEAR(JulSun1+34)=CalendarYear,MONTH(JulSun1+34)=7),JulSun1+34,""))</f>
        <v/>
      </c>
      <c r="X20" s="37" t="str">
        <f>IF(DAY(JulSun1)=1,IF(AND(YEAR(JulSun1+28)=CalendarYear,MONTH(JulSun1+28)=7),JulSun1+28,""),IF(AND(YEAR(JulSun1+35)=CalendarYear,MONTH(JulSun1+35)=7),JulSun1+35,""))</f>
        <v/>
      </c>
      <c r="Y20" s="20"/>
      <c r="Z20" s="41">
        <f>IF(DAY(AugSun1)=1,IF(AND(YEAR(AugSun1+22)=CalendarYear,MONTH(AugSun1+22)=8),AugSun1+22,""),IF(AND(YEAR(AugSun1+29)=CalendarYear,MONTH(AugSun1+29)=8),AugSun1+29,""))</f>
        <v>45893</v>
      </c>
      <c r="AA20" s="38">
        <f>IF(DAY(AugSun1)=1,IF(AND(YEAR(AugSun1+23)=CalendarYear,MONTH(AugSun1+23)=8),AugSun1+23,""),IF(AND(YEAR(AugSun1+30)=CalendarYear,MONTH(AugSun1+30)=8),AugSun1+30,""))</f>
        <v>45894</v>
      </c>
      <c r="AB20" s="43">
        <f>IF(DAY(AugSun1)=1,IF(AND(YEAR(AugSun1+24)=CalendarYear,MONTH(AugSun1+24)=8),AugSun1+24,""),IF(AND(YEAR(AugSun1+31)=CalendarYear,MONTH(AugSun1+31)=8),AugSun1+31,""))</f>
        <v>45895</v>
      </c>
      <c r="AC20" s="38">
        <f>IF(DAY(AugSun1)=1,IF(AND(YEAR(AugSun1+25)=CalendarYear,MONTH(AugSun1+25)=8),AugSun1+25,""),IF(AND(YEAR(AugSun1+32)=CalendarYear,MONTH(AugSun1+32)=8),AugSun1+32,""))</f>
        <v>45896</v>
      </c>
      <c r="AD20" s="43">
        <f>IF(DAY(AugSun1)=1,IF(AND(YEAR(AugSun1+26)=CalendarYear,MONTH(AugSun1+26)=8),AugSun1+26,""),IF(AND(YEAR(AugSun1+33)=CalendarYear,MONTH(AugSun1+33)=8),AugSun1+33,""))</f>
        <v>45897</v>
      </c>
      <c r="AE20" s="37">
        <f>IF(DAY(AugSun1)=1,IF(AND(YEAR(AugSun1+27)=CalendarYear,MONTH(AugSun1+27)=8),AugSun1+27,""),IF(AND(YEAR(AugSun1+34)=CalendarYear,MONTH(AugSun1+34)=8),AugSun1+34,""))</f>
        <v>45898</v>
      </c>
      <c r="AF20" s="37">
        <f>IF(DAY(AugSun1)=1,IF(AND(YEAR(AugSun1+28)=CalendarYear,MONTH(AugSun1+28)=8),AugSun1+28,""),IF(AND(YEAR(AugSun1+35)=CalendarYear,MONTH(AugSun1+35)=8),AugSun1+35,""))</f>
        <v>45899</v>
      </c>
    </row>
    <row r="21" spans="1:32" s="8" customFormat="1" ht="44.1" customHeight="1">
      <c r="A21" s="20"/>
      <c r="B21" s="41" t="str">
        <f>IF(DAY(MaySun1)=1,IF(AND(YEAR(MaySun1+29)=CalendarYear,MONTH(MaySun1+29)=5),MaySun1+29,""),IF(AND(YEAR(MaySun1+36)=CalendarYear,MONTH(MaySun1+36)=5),MaySun1+36,""))</f>
        <v/>
      </c>
      <c r="C21" s="41" t="str">
        <f>IF(DAY(MaySun1)=1,IF(AND(YEAR(MaySun1+30)=CalendarYear,MONTH(MaySun1+30)=5),MaySun1+30,""),IF(AND(YEAR(MaySun1+37)=CalendarYear,MONTH(MaySun1+37)=5),MaySun1+37,""))</f>
        <v/>
      </c>
      <c r="D21" s="43" t="str">
        <f>IF(DAY(MaySun1)=1,IF(AND(YEAR(MaySun1+31)=CalendarYear,MONTH(MaySun1+31)=5),MaySun1+31,""),IF(AND(YEAR(MaySun1+38)=CalendarYear,MONTH(MaySun1+38)=5),MaySun1+38,""))</f>
        <v/>
      </c>
      <c r="E21" s="43" t="str">
        <f>IF(DAY(MaySun1)=1,IF(AND(YEAR(MaySun1+32)=CalendarYear,MONTH(MaySun1+32)=5),MaySun1+32,""),IF(AND(YEAR(MaySun1+39)=CalendarYear,MONTH(MaySun1+39)=5),MaySun1+39,""))</f>
        <v/>
      </c>
      <c r="F21" s="43" t="str">
        <f>IF(DAY(MaySun1)=1,IF(AND(YEAR(MaySun1+33)=CalendarYear,MONTH(MaySun1+33)=5),MaySun1+33,""),IF(AND(YEAR(MaySun1+40)=CalendarYear,MONTH(MaySun1+40)=5),MaySun1+40,""))</f>
        <v/>
      </c>
      <c r="G21" s="37" t="str">
        <f>IF(DAY(MaySun1)=1,IF(AND(YEAR(MaySun1+34)=CalendarYear,MONTH(MaySun1+34)=5),MaySun1+34,""),IF(AND(YEAR(MaySun1+41)=CalendarYear,MONTH(MaySun1+41)=5),MaySun1+41,""))</f>
        <v/>
      </c>
      <c r="H21" s="37" t="str">
        <f>IF(DAY(MaySun1)=1,IF(AND(YEAR(MaySun1+35)=CalendarYear,MONTH(MaySun1+35)=5),MaySun1+35,""),IF(AND(YEAR(MaySun1+42)=CalendarYear,MONTH(MaySun1+42)=5),MaySun1+42,""))</f>
        <v/>
      </c>
      <c r="I21" s="20"/>
      <c r="J21" s="41" t="str">
        <f>IF(DAY(JunSun1)=1,IF(AND(YEAR(JunSun1+29)=CalendarYear,MONTH(JunSun1+29)=6),JunSun1+29,""),IF(AND(YEAR(JunSun1+36)=CalendarYear,MONTH(JunSun1+36)=6),JunSun1+36,""))</f>
        <v/>
      </c>
      <c r="K21" s="41" t="str">
        <f>IF(DAY(JunSun1)=1,IF(AND(YEAR(JunSun1+30)=CalendarYear,MONTH(JunSun1+30)=6),JunSun1+30,""),IF(AND(YEAR(JunSun1+37)=CalendarYear,MONTH(JunSun1+37)=6),JunSun1+37,""))</f>
        <v/>
      </c>
      <c r="L21" s="43" t="str">
        <f>IF(DAY(JunSun1)=1,IF(AND(YEAR(JunSun1+31)=CalendarYear,MONTH(JunSun1+31)=6),JunSun1+31,""),IF(AND(YEAR(JunSun1+38)=CalendarYear,MONTH(JunSun1+38)=6),JunSun1+38,""))</f>
        <v/>
      </c>
      <c r="M21" s="43" t="str">
        <f>IF(DAY(JunSun1)=1,IF(AND(YEAR(JunSun1+32)=CalendarYear,MONTH(JunSun1+32)=6),JunSun1+32,""),IF(AND(YEAR(JunSun1+39)=CalendarYear,MONTH(JunSun1+39)=6),JunSun1+39,""))</f>
        <v/>
      </c>
      <c r="N21" s="43" t="str">
        <f>IF(DAY(JunSun1)=1,IF(AND(YEAR(JunSun1+33)=CalendarYear,MONTH(JunSun1+33)=6),JunSun1+33,""),IF(AND(YEAR(JunSun1+40)=CalendarYear,MONTH(JunSun1+40)=6),JunSun1+40,""))</f>
        <v/>
      </c>
      <c r="O21" s="37" t="str">
        <f>IF(DAY(JunSun1)=1,IF(AND(YEAR(JunSun1+34)=CalendarYear,MONTH(JunSun1+34)=6),JunSun1+34,""),IF(AND(YEAR(JunSun1+41)=CalendarYear,MONTH(JunSun1+41)=6),JunSun1+41,""))</f>
        <v/>
      </c>
      <c r="P21" s="37" t="str">
        <f>IF(DAY(JunSun1)=1,IF(AND(YEAR(JunSun1+35)=CalendarYear,MONTH(JunSun1+35)=6),JunSun1+35,""),IF(AND(YEAR(JunSun1+42)=CalendarYear,MONTH(JunSun1+42)=6),JunSun1+42,""))</f>
        <v/>
      </c>
      <c r="Q21" s="20"/>
      <c r="R21" s="41" t="str">
        <f>IF(DAY(JulSun1)=1,IF(AND(YEAR(JulSun1+29)=CalendarYear,MONTH(JulSun1+29)=7),JulSun1+29,""),IF(AND(YEAR(JulSun1+36)=CalendarYear,MONTH(JulSun1+36)=7),JulSun1+36,""))</f>
        <v/>
      </c>
      <c r="S21" s="41" t="str">
        <f>IF(DAY(JulSun1)=1,IF(AND(YEAR(JulSun1+30)=CalendarYear,MONTH(JulSun1+30)=7),JulSun1+30,""),IF(AND(YEAR(JulSun1+37)=CalendarYear,MONTH(JulSun1+37)=7),JulSun1+37,""))</f>
        <v/>
      </c>
      <c r="T21" s="43" t="str">
        <f>IF(DAY(JulSun1)=1,IF(AND(YEAR(JulSun1+31)=CalendarYear,MONTH(JulSun1+31)=7),JulSun1+31,""),IF(AND(YEAR(JulSun1+38)=CalendarYear,MONTH(JulSun1+38)=7),JulSun1+38,""))</f>
        <v/>
      </c>
      <c r="U21" s="43" t="str">
        <f>IF(DAY(JulSun1)=1,IF(AND(YEAR(JulSun1+32)=CalendarYear,MONTH(JulSun1+32)=7),JulSun1+32,""),IF(AND(YEAR(JulSun1+39)=CalendarYear,MONTH(JulSun1+39)=7),JulSun1+39,""))</f>
        <v/>
      </c>
      <c r="V21" s="43" t="str">
        <f>IF(DAY(JulSun1)=1,IF(AND(YEAR(JulSun1+33)=CalendarYear,MONTH(JulSun1+33)=7),JulSun1+33,""),IF(AND(YEAR(JulSun1+40)=CalendarYear,MONTH(JulSun1+40)=7),JulSun1+40,""))</f>
        <v/>
      </c>
      <c r="W21" s="37" t="str">
        <f>IF(DAY(JulSun1)=1,IF(AND(YEAR(JulSun1+34)=CalendarYear,MONTH(JulSun1+34)=7),JulSun1+34,""),IF(AND(YEAR(JulSun1+41)=CalendarYear,MONTH(JulSun1+41)=7),JulSun1+41,""))</f>
        <v/>
      </c>
      <c r="X21" s="37" t="str">
        <f>IF(DAY(JulSun1)=1,IF(AND(YEAR(JulSun1+35)=CalendarYear,MONTH(JulSun1+35)=7),JulSun1+35,""),IF(AND(YEAR(JulSun1+42)=CalendarYear,MONTH(JulSun1+42)=7),JulSun1+42,""))</f>
        <v/>
      </c>
      <c r="Y21" s="20"/>
      <c r="Z21" s="41">
        <f>IF(DAY(AugSun1)=1,IF(AND(YEAR(AugSun1+29)=CalendarYear,MONTH(AugSun1+29)=8),AugSun1+29,""),IF(AND(YEAR(AugSun1+36)=CalendarYear,MONTH(AugSun1+36)=8),AugSun1+36,""))</f>
        <v>45900</v>
      </c>
      <c r="AA21" s="41" t="str">
        <f>IF(DAY(AugSun1)=1,IF(AND(YEAR(AugSun1+30)=CalendarYear,MONTH(AugSun1+30)=8),AugSun1+30,""),IF(AND(YEAR(AugSun1+37)=CalendarYear,MONTH(AugSun1+37)=8),AugSun1+37,""))</f>
        <v/>
      </c>
      <c r="AB21" s="43" t="str">
        <f>IF(DAY(AugSun1)=1,IF(AND(YEAR(AugSun1+31)=CalendarYear,MONTH(AugSun1+31)=8),AugSun1+31,""),IF(AND(YEAR(AugSun1+38)=CalendarYear,MONTH(AugSun1+38)=8),AugSun1+38,""))</f>
        <v/>
      </c>
      <c r="AC21" s="43" t="str">
        <f>IF(DAY(AugSun1)=1,IF(AND(YEAR(AugSun1+32)=CalendarYear,MONTH(AugSun1+32)=8),AugSun1+32,""),IF(AND(YEAR(AugSun1+39)=CalendarYear,MONTH(AugSun1+39)=8),AugSun1+39,""))</f>
        <v/>
      </c>
      <c r="AD21" s="43" t="str">
        <f>IF(DAY(AugSun1)=1,IF(AND(YEAR(AugSun1+33)=CalendarYear,MONTH(AugSun1+33)=8),AugSun1+33,""),IF(AND(YEAR(AugSun1+40)=CalendarYear,MONTH(AugSun1+40)=8),AugSun1+40,""))</f>
        <v/>
      </c>
      <c r="AE21" s="37" t="str">
        <f>IF(DAY(AugSun1)=1,IF(AND(YEAR(AugSun1+34)=CalendarYear,MONTH(AugSun1+34)=8),AugSun1+34,""),IF(AND(YEAR(AugSun1+41)=CalendarYear,MONTH(AugSun1+41)=8),AugSun1+41,""))</f>
        <v/>
      </c>
      <c r="AF21" s="37" t="str">
        <f>IF(DAY(AugSun1)=1,IF(AND(YEAR(AugSun1+35)=CalendarYear,MONTH(AugSun1+35)=8),AugSun1+35,""),IF(AND(YEAR(AugSun1+42)=CalendarYear,MONTH(AugSun1+42)=8),AugSun1+42,""))</f>
        <v/>
      </c>
    </row>
    <row r="22" spans="1:32" s="7" customFormat="1" ht="44.1" customHeight="1">
      <c r="A22" s="21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s="13" customFormat="1" ht="44.1" customHeight="1">
      <c r="A23" s="22"/>
      <c r="B23" s="66" t="s">
        <v>45</v>
      </c>
      <c r="C23" s="66"/>
      <c r="D23" s="66"/>
      <c r="E23" s="66"/>
      <c r="F23" s="66"/>
      <c r="G23" s="66"/>
      <c r="H23" s="66"/>
      <c r="I23" s="28"/>
      <c r="J23" s="66" t="s">
        <v>46</v>
      </c>
      <c r="K23" s="66"/>
      <c r="L23" s="66"/>
      <c r="M23" s="66"/>
      <c r="N23" s="66"/>
      <c r="O23" s="66"/>
      <c r="P23" s="66"/>
      <c r="Q23" s="28"/>
      <c r="R23" s="66" t="s">
        <v>47</v>
      </c>
      <c r="S23" s="66"/>
      <c r="T23" s="66"/>
      <c r="U23" s="66"/>
      <c r="V23" s="66"/>
      <c r="W23" s="66"/>
      <c r="X23" s="66"/>
      <c r="Y23" s="28"/>
      <c r="Z23" s="66" t="s">
        <v>48</v>
      </c>
      <c r="AA23" s="66"/>
      <c r="AB23" s="66"/>
      <c r="AC23" s="66"/>
      <c r="AD23" s="66"/>
      <c r="AE23" s="66"/>
      <c r="AF23" s="66"/>
    </row>
    <row r="24" spans="1:32" s="6" customFormat="1" ht="44.1" customHeight="1">
      <c r="A24" s="23"/>
      <c r="B24" s="34" t="s">
        <v>32</v>
      </c>
      <c r="C24" s="35" t="s">
        <v>33</v>
      </c>
      <c r="D24" s="35" t="s">
        <v>34</v>
      </c>
      <c r="E24" s="35" t="s">
        <v>35</v>
      </c>
      <c r="F24" s="35" t="s">
        <v>36</v>
      </c>
      <c r="G24" s="35" t="s">
        <v>37</v>
      </c>
      <c r="H24" s="36" t="s">
        <v>38</v>
      </c>
      <c r="I24" s="24"/>
      <c r="J24" s="34" t="s">
        <v>32</v>
      </c>
      <c r="K24" s="35" t="s">
        <v>33</v>
      </c>
      <c r="L24" s="35" t="s">
        <v>34</v>
      </c>
      <c r="M24" s="35" t="s">
        <v>35</v>
      </c>
      <c r="N24" s="35" t="s">
        <v>36</v>
      </c>
      <c r="O24" s="35" t="s">
        <v>37</v>
      </c>
      <c r="P24" s="36" t="s">
        <v>38</v>
      </c>
      <c r="Q24" s="24"/>
      <c r="R24" s="34" t="s">
        <v>32</v>
      </c>
      <c r="S24" s="35" t="s">
        <v>33</v>
      </c>
      <c r="T24" s="35" t="s">
        <v>34</v>
      </c>
      <c r="U24" s="35" t="s">
        <v>35</v>
      </c>
      <c r="V24" s="35" t="s">
        <v>36</v>
      </c>
      <c r="W24" s="35" t="s">
        <v>37</v>
      </c>
      <c r="X24" s="36" t="s">
        <v>38</v>
      </c>
      <c r="Y24" s="24"/>
      <c r="Z24" s="34" t="s">
        <v>32</v>
      </c>
      <c r="AA24" s="35" t="s">
        <v>33</v>
      </c>
      <c r="AB24" s="35" t="s">
        <v>34</v>
      </c>
      <c r="AC24" s="35" t="s">
        <v>35</v>
      </c>
      <c r="AD24" s="35" t="s">
        <v>36</v>
      </c>
      <c r="AE24" s="35" t="s">
        <v>37</v>
      </c>
      <c r="AF24" s="36" t="s">
        <v>38</v>
      </c>
    </row>
    <row r="25" spans="1:32" s="8" customFormat="1" ht="44.1" customHeight="1">
      <c r="A25" s="20"/>
      <c r="B25" s="37" t="str">
        <f>IF(DAY(SepSun1)=1,"",IF(AND(YEAR(SepSun1+1)=CalendarYear,MONTH(SepSun1+1)=9),SepSun1+1,""))</f>
        <v/>
      </c>
      <c r="C25" s="37">
        <f>IF(DAY(SepSun1)=1,"",IF(AND(YEAR(SepSun1+2)=CalendarYear,MONTH(SepSun1+2)=9),SepSun1+2,""))</f>
        <v>45901</v>
      </c>
      <c r="D25" s="39">
        <f>IF(DAY(SepSun1)=1,"",IF(AND(YEAR(SepSun1+3)=CalendarYear,MONTH(SepSun1+3)=9),SepSun1+3,""))</f>
        <v>45902</v>
      </c>
      <c r="E25" s="39">
        <f>IF(DAY(SepSun1)=1,"",IF(AND(YEAR(SepSun1+4)=CalendarYear,MONTH(SepSun1+4)=9),SepSun1+4,""))</f>
        <v>45903</v>
      </c>
      <c r="F25" s="39">
        <f>IF(DAY(SepSun1)=1,"",IF(AND(YEAR(SepSun1+5)=CalendarYear,MONTH(SepSun1+5)=9),SepSun1+5,""))</f>
        <v>45904</v>
      </c>
      <c r="G25" s="40">
        <f>IF(DAY(SepSun1)=1,"",IF(AND(YEAR(SepSun1+6)=CalendarYear,MONTH(SepSun1+6)=9),SepSun1+6,""))</f>
        <v>45905</v>
      </c>
      <c r="H25" s="40">
        <f>IF(DAY(SepSun1)=1,IF(AND(YEAR(SepSun1)=CalendarYear,MONTH(SepSun1)=9),SepSun1,""),IF(AND(YEAR(SepSun1+7)=CalendarYear,MONTH(SepSun1+7)=9),SepSun1+7,""))</f>
        <v>45906</v>
      </c>
      <c r="I25" s="20"/>
      <c r="J25" s="37" t="str">
        <f>IF(DAY(OctSun1)=1,"",IF(AND(YEAR(OctSun1+1)=CalendarYear,MONTH(OctSun1+1)=10),OctSun1+1,""))</f>
        <v/>
      </c>
      <c r="K25" s="37" t="str">
        <f>IF(DAY(OctSun1)=1,"",IF(AND(YEAR(OctSun1+2)=CalendarYear,MONTH(OctSun1+2)=10),OctSun1+2,""))</f>
        <v/>
      </c>
      <c r="L25" s="39" t="str">
        <f>IF(DAY(OctSun1)=1,"",IF(AND(YEAR(OctSun1+3)=CalendarYear,MONTH(OctSun1+3)=10),OctSun1+3,""))</f>
        <v/>
      </c>
      <c r="M25" s="39">
        <f>IF(DAY(OctSun1)=1,"",IF(AND(YEAR(OctSun1+4)=CalendarYear,MONTH(OctSun1+4)=10),OctSun1+4,""))</f>
        <v>45931</v>
      </c>
      <c r="N25" s="39">
        <f>IF(DAY(OctSun1)=1,"",IF(AND(YEAR(OctSun1+5)=CalendarYear,MONTH(OctSun1+5)=10),OctSun1+5,""))</f>
        <v>45932</v>
      </c>
      <c r="O25" s="40">
        <f>IF(DAY(OctSun1)=1,"",IF(AND(YEAR(OctSun1+6)=CalendarYear,MONTH(OctSun1+6)=10),OctSun1+6,""))</f>
        <v>45933</v>
      </c>
      <c r="P25" s="40">
        <f>IF(DAY(OctSun1)=1,IF(AND(YEAR(OctSun1)=CalendarYear,MONTH(OctSun1)=10),OctSun1,""),IF(AND(YEAR(OctSun1+7)=CalendarYear,MONTH(OctSun1+7)=10),OctSun1+7,""))</f>
        <v>45934</v>
      </c>
      <c r="Q25" s="20"/>
      <c r="R25" s="37" t="str">
        <f>IF(DAY(NovSun1)=1,"",IF(AND(YEAR(NovSun1+1)=CalendarYear,MONTH(NovSun1+1)=11),NovSun1+1,""))</f>
        <v/>
      </c>
      <c r="S25" s="37" t="str">
        <f>IF(DAY(NovSun1)=1,"",IF(AND(YEAR(NovSun1+2)=CalendarYear,MONTH(NovSun1+2)=11),NovSun1+2,""))</f>
        <v/>
      </c>
      <c r="T25" s="39" t="str">
        <f>IF(DAY(NovSun1)=1,"",IF(AND(YEAR(NovSun1+3)=CalendarYear,MONTH(NovSun1+3)=11),NovSun1+3,""))</f>
        <v/>
      </c>
      <c r="U25" s="39" t="str">
        <f>IF(DAY(NovSun1)=1,"",IF(AND(YEAR(NovSun1+4)=CalendarYear,MONTH(NovSun1+4)=11),NovSun1+4,""))</f>
        <v/>
      </c>
      <c r="V25" s="39" t="str">
        <f>IF(DAY(NovSun1)=1,"",IF(AND(YEAR(NovSun1+5)=CalendarYear,MONTH(NovSun1+5)=11),NovSun1+5,""))</f>
        <v/>
      </c>
      <c r="W25" s="40" t="str">
        <f>IF(DAY(NovSun1)=1,"",IF(AND(YEAR(NovSun1+6)=CalendarYear,MONTH(NovSun1+6)=11),NovSun1+6,""))</f>
        <v/>
      </c>
      <c r="X25" s="40">
        <f>IF(DAY(NovSun1)=1,IF(AND(YEAR(NovSun1)=CalendarYear,MONTH(NovSun1)=11),NovSun1,""),IF(AND(YEAR(NovSun1+7)=CalendarYear,MONTH(NovSun1+7)=11),NovSun1+7,""))</f>
        <v>45962</v>
      </c>
      <c r="Y25" s="20"/>
      <c r="Z25" s="37" t="str">
        <f>IF(DAY(DecSun1)=1,"",IF(AND(YEAR(DecSun1+1)=CalendarYear,MONTH(DecSun1+1)=12),DecSun1+1,""))</f>
        <v/>
      </c>
      <c r="AA25" s="37">
        <f>IF(DAY(DecSun1)=1,"",IF(AND(YEAR(DecSun1+2)=CalendarYear,MONTH(DecSun1+2)=12),DecSun1+2,""))</f>
        <v>45992</v>
      </c>
      <c r="AB25" s="39">
        <f>IF(DAY(DecSun1)=1,"",IF(AND(YEAR(DecSun1+3)=CalendarYear,MONTH(DecSun1+3)=12),DecSun1+3,""))</f>
        <v>45993</v>
      </c>
      <c r="AC25" s="39">
        <f>IF(DAY(DecSun1)=1,"",IF(AND(YEAR(DecSun1+4)=CalendarYear,MONTH(DecSun1+4)=12),DecSun1+4,""))</f>
        <v>45994</v>
      </c>
      <c r="AD25" s="39">
        <f>IF(DAY(DecSun1)=1,"",IF(AND(YEAR(DecSun1+5)=CalendarYear,MONTH(DecSun1+5)=12),DecSun1+5,""))</f>
        <v>45995</v>
      </c>
      <c r="AE25" s="40">
        <f>IF(DAY(DecSun1)=1,"",IF(AND(YEAR(DecSun1+6)=CalendarYear,MONTH(DecSun1+6)=12),DecSun1+6,""))</f>
        <v>45996</v>
      </c>
      <c r="AF25" s="40">
        <f>IF(DAY(DecSun1)=1,IF(AND(YEAR(DecSun1)=CalendarYear,MONTH(DecSun1)=12),DecSun1,""),IF(AND(YEAR(DecSun1+7)=CalendarYear,MONTH(DecSun1+7)=12),DecSun1+7,""))</f>
        <v>45997</v>
      </c>
    </row>
    <row r="26" spans="1:32" s="8" customFormat="1" ht="44.1" customHeight="1">
      <c r="A26" s="20"/>
      <c r="B26" s="41">
        <f>IF(DAY(SepSun1)=1,IF(AND(YEAR(SepSun1+1)=CalendarYear,MONTH(SepSun1+1)=9),SepSun1+1,""),IF(AND(YEAR(SepSun1+8)=CalendarYear,MONTH(SepSun1+8)=9),SepSun1+8,""))</f>
        <v>45907</v>
      </c>
      <c r="C26" s="41">
        <f>IF(DAY(SepSun1)=1,IF(AND(YEAR(SepSun1+2)=CalendarYear,MONTH(SepSun1+2)=9),SepSun1+2,""),IF(AND(YEAR(SepSun1+9)=CalendarYear,MONTH(SepSun1+9)=9),SepSun1+9,""))</f>
        <v>45908</v>
      </c>
      <c r="D26" s="41">
        <f>IF(DAY(SepSun1)=1,IF(AND(YEAR(SepSun1+3)=CalendarYear,MONTH(SepSun1+3)=9),SepSun1+3,""),IF(AND(YEAR(SepSun1+10)=CalendarYear,MONTH(SepSun1+10)=9),SepSun1+10,""))</f>
        <v>45909</v>
      </c>
      <c r="E26" s="38">
        <f>IF(DAY(SepSun1)=1,IF(AND(YEAR(SepSun1+4)=CalendarYear,MONTH(SepSun1+4)=9),SepSun1+4,""),IF(AND(YEAR(SepSun1+11)=CalendarYear,MONTH(SepSun1+11)=9),SepSun1+11,""))</f>
        <v>45910</v>
      </c>
      <c r="F26" s="40">
        <f>IF(DAY(SepSun1)=1,IF(AND(YEAR(SepSun1+5)=CalendarYear,MONTH(SepSun1+5)=9),SepSun1+5,""),IF(AND(YEAR(SepSun1+12)=CalendarYear,MONTH(SepSun1+12)=9),SepSun1+12,""))</f>
        <v>45911</v>
      </c>
      <c r="G26" s="39">
        <f>IF(DAY(SepSun1)=1,IF(AND(YEAR(SepSun1+6)=CalendarYear,MONTH(SepSun1+6)=9),SepSun1+6,""),IF(AND(YEAR(SepSun1+13)=CalendarYear,MONTH(SepSun1+13)=9),SepSun1+13,""))</f>
        <v>45912</v>
      </c>
      <c r="H26" s="38">
        <f>IF(DAY(SepSun1)=1,IF(AND(YEAR(SepSun1+7)=CalendarYear,MONTH(SepSun1+7)=9),SepSun1+7,""),IF(AND(YEAR(SepSun1+14)=CalendarYear,MONTH(SepSun1+14)=9),SepSun1+14,""))</f>
        <v>45913</v>
      </c>
      <c r="I26" s="20"/>
      <c r="J26" s="41">
        <f>IF(DAY(OctSun1)=1,IF(AND(YEAR(OctSun1+1)=CalendarYear,MONTH(OctSun1+1)=10),OctSun1+1,""),IF(AND(YEAR(OctSun1+8)=CalendarYear,MONTH(OctSun1+8)=10),OctSun1+8,""))</f>
        <v>45935</v>
      </c>
      <c r="K26" s="41">
        <f>IF(DAY(OctSun1)=1,IF(AND(YEAR(OctSun1+2)=CalendarYear,MONTH(OctSun1+2)=10),OctSun1+2,""),IF(AND(YEAR(OctSun1+9)=CalendarYear,MONTH(OctSun1+9)=10),OctSun1+9,""))</f>
        <v>45936</v>
      </c>
      <c r="L26" s="41">
        <f>IF(DAY(OctSun1)=1,IF(AND(YEAR(OctSun1+3)=CalendarYear,MONTH(OctSun1+3)=10),OctSun1+3,""),IF(AND(YEAR(OctSun1+10)=CalendarYear,MONTH(OctSun1+10)=10),OctSun1+10,""))</f>
        <v>45937</v>
      </c>
      <c r="M26" s="40">
        <f>IF(DAY(OctSun1)=1,IF(AND(YEAR(OctSun1+4)=CalendarYear,MONTH(OctSun1+4)=10),OctSun1+4,""),IF(AND(YEAR(OctSun1+11)=CalendarYear,MONTH(OctSun1+11)=10),OctSun1+11,""))</f>
        <v>45938</v>
      </c>
      <c r="N26" s="40">
        <f>IF(DAY(OctSun1)=1,IF(AND(YEAR(OctSun1+5)=CalendarYear,MONTH(OctSun1+5)=10),OctSun1+5,""),IF(AND(YEAR(OctSun1+12)=CalendarYear,MONTH(OctSun1+12)=10),OctSun1+12,""))</f>
        <v>45939</v>
      </c>
      <c r="O26" s="39">
        <f>IF(DAY(OctSun1)=1,IF(AND(YEAR(OctSun1+6)=CalendarYear,MONTH(OctSun1+6)=10),OctSun1+6,""),IF(AND(YEAR(OctSun1+13)=CalendarYear,MONTH(OctSun1+13)=10),OctSun1+13,""))</f>
        <v>45940</v>
      </c>
      <c r="P26" s="39">
        <f>IF(DAY(OctSun1)=1,IF(AND(YEAR(OctSun1+7)=CalendarYear,MONTH(OctSun1+7)=10),OctSun1+7,""),IF(AND(YEAR(OctSun1+14)=CalendarYear,MONTH(OctSun1+14)=10),OctSun1+14,""))</f>
        <v>45941</v>
      </c>
      <c r="Q26" s="20"/>
      <c r="R26" s="41">
        <f>IF(DAY(NovSun1)=1,IF(AND(YEAR(NovSun1+1)=CalendarYear,MONTH(NovSun1+1)=11),NovSun1+1,""),IF(AND(YEAR(NovSun1+8)=CalendarYear,MONTH(NovSun1+8)=11),NovSun1+8,""))</f>
        <v>45963</v>
      </c>
      <c r="S26" s="52" t="s">
        <v>4</v>
      </c>
      <c r="T26" s="52"/>
      <c r="U26" s="52"/>
      <c r="V26" s="52"/>
      <c r="W26" s="39">
        <f>IF(DAY(NovSun1)=1,IF(AND(YEAR(NovSun1+6)=CalendarYear,MONTH(NovSun1+6)=11),NovSun1+6,""),IF(AND(YEAR(NovSun1+13)=CalendarYear,MONTH(NovSun1+13)=11),NovSun1+13,""))</f>
        <v>45968</v>
      </c>
      <c r="X26" s="39">
        <f>IF(DAY(NovSun1)=1,IF(AND(YEAR(NovSun1+7)=CalendarYear,MONTH(NovSun1+7)=11),NovSun1+7,""),IF(AND(YEAR(NovSun1+14)=CalendarYear,MONTH(NovSun1+14)=11),NovSun1+14,""))</f>
        <v>45969</v>
      </c>
      <c r="Y26" s="20"/>
      <c r="Z26" s="41">
        <f>IF(DAY(DecSun1)=1,IF(AND(YEAR(DecSun1+1)=CalendarYear,MONTH(DecSun1+1)=12),DecSun1+1,""),IF(AND(YEAR(DecSun1+8)=CalendarYear,MONTH(DecSun1+8)=12),DecSun1+8,""))</f>
        <v>45998</v>
      </c>
      <c r="AA26" s="41">
        <f>IF(DAY(DecSun1)=1,IF(AND(YEAR(DecSun1+2)=CalendarYear,MONTH(DecSun1+2)=12),DecSun1+2,""),IF(AND(YEAR(DecSun1+9)=CalendarYear,MONTH(DecSun1+9)=12),DecSun1+9,""))</f>
        <v>45999</v>
      </c>
      <c r="AB26" s="41">
        <f>IF(DAY(DecSun1)=1,IF(AND(YEAR(DecSun1+3)=CalendarYear,MONTH(DecSun1+3)=12),DecSun1+3,""),IF(AND(YEAR(DecSun1+10)=CalendarYear,MONTH(DecSun1+10)=12),DecSun1+10,""))</f>
        <v>46000</v>
      </c>
      <c r="AC26" s="40">
        <f>IF(DAY(DecSun1)=1,IF(AND(YEAR(DecSun1+4)=CalendarYear,MONTH(DecSun1+4)=12),DecSun1+4,""),IF(AND(YEAR(DecSun1+11)=CalendarYear,MONTH(DecSun1+11)=12),DecSun1+11,""))</f>
        <v>46001</v>
      </c>
      <c r="AD26" s="40">
        <f>IF(DAY(DecSun1)=1,IF(AND(YEAR(DecSun1+5)=CalendarYear,MONTH(DecSun1+5)=12),DecSun1+5,""),IF(AND(YEAR(DecSun1+12)=CalendarYear,MONTH(DecSun1+12)=12),DecSun1+12,""))</f>
        <v>46002</v>
      </c>
      <c r="AE26" s="39">
        <f>IF(DAY(DecSun1)=1,IF(AND(YEAR(DecSun1+6)=CalendarYear,MONTH(DecSun1+6)=12),DecSun1+6,""),IF(AND(YEAR(DecSun1+13)=CalendarYear,MONTH(DecSun1+13)=12),DecSun1+13,""))</f>
        <v>46003</v>
      </c>
      <c r="AF26" s="39">
        <f>IF(DAY(DecSun1)=1,IF(AND(YEAR(DecSun1+7)=CalendarYear,MONTH(DecSun1+7)=12),DecSun1+7,""),IF(AND(YEAR(DecSun1+14)=CalendarYear,MONTH(DecSun1+14)=12),DecSun1+14,""))</f>
        <v>46004</v>
      </c>
    </row>
    <row r="27" spans="1:32" s="8" customFormat="1" ht="44.1" customHeight="1">
      <c r="A27" s="20"/>
      <c r="B27" s="40">
        <f>IF(DAY(SepSun1)=1,IF(AND(YEAR(SepSun1+8)=CalendarYear,MONTH(SepSun1+8)=9),SepSun1+8,""),IF(AND(YEAR(SepSun1+15)=CalendarYear,MONTH(SepSun1+15)=9),SepSun1+15,""))</f>
        <v>45914</v>
      </c>
      <c r="C27" s="40">
        <f>IF(DAY(SepSun1)=1,IF(AND(YEAR(SepSun1+9)=CalendarYear,MONTH(SepSun1+9)=9),SepSun1+9,""),IF(AND(YEAR(SepSun1+16)=CalendarYear,MONTH(SepSun1+16)=9),SepSun1+16,""))</f>
        <v>45915</v>
      </c>
      <c r="D27" s="58" t="s">
        <v>28</v>
      </c>
      <c r="E27" s="59"/>
      <c r="F27" s="44">
        <f>IF(DAY(SepSun1)=1,IF(AND(YEAR(SepSun1+12)=CalendarYear,MONTH(SepSun1+12)=9),SepSun1+12,""),IF(AND(YEAR(SepSun1+19)=CalendarYear,MONTH(SepSun1+19)=9),SepSun1+19,""))</f>
        <v>45918</v>
      </c>
      <c r="G27" s="44">
        <f>IF(DAY(SepSun1)=1,IF(AND(YEAR(SepSun1+13)=CalendarYear,MONTH(SepSun1+13)=9),SepSun1+13,""),IF(AND(YEAR(SepSun1+20)=CalendarYear,MONTH(SepSun1+20)=9),SepSun1+20,""))</f>
        <v>45919</v>
      </c>
      <c r="H27" s="40">
        <f>IF(DAY(SepSun1)=1,IF(AND(YEAR(SepSun1+14)=CalendarYear,MONTH(SepSun1+14)=9),SepSun1+14,""),IF(AND(YEAR(SepSun1+21)=CalendarYear,MONTH(SepSun1+21)=9),SepSun1+21,""))</f>
        <v>45920</v>
      </c>
      <c r="I27" s="20"/>
      <c r="J27" s="40">
        <f>IF(DAY(OctSun1)=1,IF(AND(YEAR(OctSun1+8)=CalendarYear,MONTH(OctSun1+8)=10),OctSun1+8,""),IF(AND(YEAR(OctSun1+15)=CalendarYear,MONTH(OctSun1+15)=10),OctSun1+15,""))</f>
        <v>45942</v>
      </c>
      <c r="K27" s="40">
        <f>IF(DAY(OctSun1)=1,IF(AND(YEAR(OctSun1+9)=CalendarYear,MONTH(OctSun1+9)=10),OctSun1+9,""),IF(AND(YEAR(OctSun1+16)=CalendarYear,MONTH(OctSun1+16)=10),OctSun1+16,""))</f>
        <v>45943</v>
      </c>
      <c r="L27" s="41">
        <f>IF(DAY(OctSun1)=1,IF(AND(YEAR(OctSun1+10)=CalendarYear,MONTH(OctSun1+10)=10),OctSun1+10,""),IF(AND(YEAR(OctSun1+17)=CalendarYear,MONTH(OctSun1+17)=10),OctSun1+17,""))</f>
        <v>45944</v>
      </c>
      <c r="M27" s="41">
        <f>IF(DAY(OctSun1)=1,IF(AND(YEAR(OctSun1+11)=CalendarYear,MONTH(OctSun1+11)=10),OctSun1+11,""),IF(AND(YEAR(OctSun1+18)=CalendarYear,MONTH(OctSun1+18)=10),OctSun1+18,""))</f>
        <v>45945</v>
      </c>
      <c r="N27" s="44">
        <f>IF(DAY(OctSun1)=1,IF(AND(YEAR(OctSun1+12)=CalendarYear,MONTH(OctSun1+12)=10),OctSun1+12,""),IF(AND(YEAR(OctSun1+19)=CalendarYear,MONTH(OctSun1+19)=10),OctSun1+19,""))</f>
        <v>45946</v>
      </c>
      <c r="O27" s="44">
        <f>IF(DAY(OctSun1)=1,IF(AND(YEAR(OctSun1+13)=CalendarYear,MONTH(OctSun1+13)=10),OctSun1+13,""),IF(AND(YEAR(OctSun1+20)=CalendarYear,MONTH(OctSun1+20)=10),OctSun1+20,""))</f>
        <v>45947</v>
      </c>
      <c r="P27" s="46"/>
      <c r="Q27" s="20"/>
      <c r="R27" s="40">
        <f>IF(DAY(NovSun1)=1,IF(AND(YEAR(NovSun1+8)=CalendarYear,MONTH(NovSun1+8)=11),NovSun1+8,""),IF(AND(YEAR(NovSun1+15)=CalendarYear,MONTH(NovSun1+15)=11),NovSun1+15,""))</f>
        <v>45970</v>
      </c>
      <c r="S27" s="40">
        <f>IF(DAY(NovSun1)=1,IF(AND(YEAR(NovSun1+9)=CalendarYear,MONTH(NovSun1+9)=11),NovSun1+9,""),IF(AND(YEAR(NovSun1+16)=CalendarYear,MONTH(NovSun1+16)=11),NovSun1+16,""))</f>
        <v>45971</v>
      </c>
      <c r="T27" s="41">
        <f>IF(DAY(NovSun1)=1,IF(AND(YEAR(NovSun1+10)=CalendarYear,MONTH(NovSun1+10)=11),NovSun1+10,""),IF(AND(YEAR(NovSun1+17)=CalendarYear,MONTH(NovSun1+17)=11),NovSun1+17,""))</f>
        <v>45972</v>
      </c>
      <c r="U27" s="41">
        <f>IF(DAY(NovSun1)=1,IF(AND(YEAR(NovSun1+11)=CalendarYear,MONTH(NovSun1+11)=11),NovSun1+11,""),IF(AND(YEAR(NovSun1+18)=CalendarYear,MONTH(NovSun1+18)=11),NovSun1+18,""))</f>
        <v>45973</v>
      </c>
      <c r="V27" s="44">
        <f>IF(DAY(NovSun1)=1,IF(AND(YEAR(NovSun1+12)=CalendarYear,MONTH(NovSun1+12)=11),NovSun1+12,""),IF(AND(YEAR(NovSun1+19)=CalendarYear,MONTH(NovSun1+19)=11),NovSun1+19,""))</f>
        <v>45974</v>
      </c>
      <c r="W27" s="44">
        <f>IF(DAY(NovSun1)=1,IF(AND(YEAR(NovSun1+13)=CalendarYear,MONTH(NovSun1+13)=11),NovSun1+13,""),IF(AND(YEAR(NovSun1+20)=CalendarYear,MONTH(NovSun1+20)=11),NovSun1+20,""))</f>
        <v>45975</v>
      </c>
      <c r="X27" s="40">
        <f>IF(DAY(NovSun1)=1,IF(AND(YEAR(NovSun1+14)=CalendarYear,MONTH(NovSun1+14)=11),NovSun1+14,""),IF(AND(YEAR(NovSun1+21)=CalendarYear,MONTH(NovSun1+21)=11),NovSun1+21,""))</f>
        <v>45976</v>
      </c>
      <c r="Y27" s="20"/>
      <c r="Z27" s="40">
        <f>IF(DAY(DecSun1)=1,IF(AND(YEAR(DecSun1+8)=CalendarYear,MONTH(DecSun1+8)=12),DecSun1+8,""),IF(AND(YEAR(DecSun1+15)=CalendarYear,MONTH(DecSun1+15)=12),DecSun1+15,""))</f>
        <v>46005</v>
      </c>
      <c r="AA27" s="40">
        <f>IF(DAY(DecSun1)=1,IF(AND(YEAR(DecSun1+9)=CalendarYear,MONTH(DecSun1+9)=12),DecSun1+9,""),IF(AND(YEAR(DecSun1+16)=CalendarYear,MONTH(DecSun1+16)=12),DecSun1+16,""))</f>
        <v>46006</v>
      </c>
      <c r="AB27" s="41">
        <f>IF(DAY(DecSun1)=1,IF(AND(YEAR(DecSun1+10)=CalendarYear,MONTH(DecSun1+10)=12),DecSun1+10,""),IF(AND(YEAR(DecSun1+17)=CalendarYear,MONTH(DecSun1+17)=12),DecSun1+17,""))</f>
        <v>46007</v>
      </c>
      <c r="AC27" s="41">
        <f>IF(DAY(DecSun1)=1,IF(AND(YEAR(DecSun1+11)=CalendarYear,MONTH(DecSun1+11)=12),DecSun1+11,""),IF(AND(YEAR(DecSun1+18)=CalendarYear,MONTH(DecSun1+18)=12),DecSun1+18,""))</f>
        <v>46008</v>
      </c>
      <c r="AD27" s="44">
        <f>IF(DAY(DecSun1)=1,IF(AND(YEAR(DecSun1+12)=CalendarYear,MONTH(DecSun1+12)=12),DecSun1+12,""),IF(AND(YEAR(DecSun1+19)=CalendarYear,MONTH(DecSun1+19)=12),DecSun1+19,""))</f>
        <v>46009</v>
      </c>
      <c r="AE27" s="44">
        <f>IF(DAY(DecSun1)=1,IF(AND(YEAR(DecSun1+13)=CalendarYear,MONTH(DecSun1+13)=12),DecSun1+13,""),IF(AND(YEAR(DecSun1+20)=CalendarYear,MONTH(DecSun1+20)=12),DecSun1+20,""))</f>
        <v>46010</v>
      </c>
      <c r="AF27" s="40">
        <f>IF(DAY(DecSun1)=1,IF(AND(YEAR(DecSun1+14)=CalendarYear,MONTH(DecSun1+14)=12),DecSun1+14,""),IF(AND(YEAR(DecSun1+21)=CalendarYear,MONTH(DecSun1+21)=12),DecSun1+21,""))</f>
        <v>46011</v>
      </c>
    </row>
    <row r="28" spans="1:32" s="8" customFormat="1" ht="44.1" customHeight="1">
      <c r="A28" s="20"/>
      <c r="B28" s="38">
        <f>IF(DAY(SepSun1)=1,IF(AND(YEAR(SepSun1+15)=CalendarYear,MONTH(SepSun1+15)=9),SepSun1+15,""),IF(AND(YEAR(SepSun1+22)=CalendarYear,MONTH(SepSun1+22)=9),SepSun1+22,""))</f>
        <v>45921</v>
      </c>
      <c r="C28" s="39">
        <f>IF(DAY(SepSun1)=1,IF(AND(YEAR(SepSun1+16)=CalendarYear,MONTH(SepSun1+16)=9),SepSun1+16,""),IF(AND(YEAR(SepSun1+23)=CalendarYear,MONTH(SepSun1+23)=9),SepSun1+23,""))</f>
        <v>45922</v>
      </c>
      <c r="D28" s="39">
        <f>IF(DAY(SepSun1)=1,IF(AND(YEAR(SepSun1+17)=CalendarYear,MONTH(SepSun1+17)=9),SepSun1+17,""),IF(AND(YEAR(SepSun1+24)=CalendarYear,MONTH(SepSun1+24)=9),SepSun1+24,""))</f>
        <v>45923</v>
      </c>
      <c r="E28" s="40">
        <f>IF(DAY(SepSun1)=1,IF(AND(YEAR(SepSun1+18)=CalendarYear,MONTH(SepSun1+18)=9),SepSun1+18,""),IF(AND(YEAR(SepSun1+25)=CalendarYear,MONTH(SepSun1+25)=9),SepSun1+25,""))</f>
        <v>45924</v>
      </c>
      <c r="F28" s="42">
        <f>IF(DAY(SepSun1)=1,IF(AND(YEAR(SepSun1+19)=CalendarYear,MONTH(SepSun1+19)=9),SepSun1+19,""),IF(AND(YEAR(SepSun1+26)=CalendarYear,MONTH(SepSun1+26)=9),SepSun1+26,""))</f>
        <v>45925</v>
      </c>
      <c r="G28" s="40">
        <f>IF(DAY(SepSun1)=1,IF(AND(YEAR(SepSun1+20)=CalendarYear,MONTH(SepSun1+20)=9),SepSun1+20,""),IF(AND(YEAR(SepSun1+27)=CalendarYear,MONTH(SepSun1+27)=9),SepSun1+27,""))</f>
        <v>45926</v>
      </c>
      <c r="H28" s="40">
        <f>IF(DAY(SepSun1)=1,IF(AND(YEAR(SepSun1+21)=CalendarYear,MONTH(SepSun1+21)=9),SepSun1+21,""),IF(AND(YEAR(SepSun1+28)=CalendarYear,MONTH(SepSun1+28)=9),SepSun1+28,""))</f>
        <v>45927</v>
      </c>
      <c r="I28" s="20"/>
      <c r="J28" s="60" t="s">
        <v>24</v>
      </c>
      <c r="K28" s="61"/>
      <c r="L28" s="62" t="s">
        <v>31</v>
      </c>
      <c r="M28" s="63"/>
      <c r="N28" s="42">
        <f>IF(DAY(OctSun1)=1,IF(AND(YEAR(OctSun1+19)=CalendarYear,MONTH(OctSun1+19)=10),OctSun1+19,""),IF(AND(YEAR(OctSun1+26)=CalendarYear,MONTH(OctSun1+26)=10),OctSun1+26,""))</f>
        <v>45953</v>
      </c>
      <c r="O28" s="40">
        <f>IF(DAY(OctSun1)=1,IF(AND(YEAR(OctSun1+20)=CalendarYear,MONTH(OctSun1+20)=10),OctSun1+20,""),IF(AND(YEAR(OctSun1+27)=CalendarYear,MONTH(OctSun1+27)=10),OctSun1+27,""))</f>
        <v>45954</v>
      </c>
      <c r="P28" s="40">
        <f>IF(DAY(OctSun1)=1,IF(AND(YEAR(OctSun1+21)=CalendarYear,MONTH(OctSun1+21)=10),OctSun1+21,""),IF(AND(YEAR(OctSun1+28)=CalendarYear,MONTH(OctSun1+28)=10),OctSun1+28,""))</f>
        <v>45955</v>
      </c>
      <c r="Q28" s="20"/>
      <c r="R28" s="39">
        <f>IF(DAY(NovSun1)=1,IF(AND(YEAR(NovSun1+15)=CalendarYear,MONTH(NovSun1+15)=11),NovSun1+15,""),IF(AND(YEAR(NovSun1+22)=CalendarYear,MONTH(NovSun1+22)=11),NovSun1+22,""))</f>
        <v>45977</v>
      </c>
      <c r="S28" s="39">
        <f>IF(DAY(NovSun1)=1,IF(AND(YEAR(NovSun1+16)=CalendarYear,MONTH(NovSun1+16)=11),NovSun1+16,""),IF(AND(YEAR(NovSun1+23)=CalendarYear,MONTH(NovSun1+23)=11),NovSun1+23,""))</f>
        <v>45978</v>
      </c>
      <c r="T28" s="39">
        <f>IF(DAY(NovSun1)=1,IF(AND(YEAR(NovSun1+17)=CalendarYear,MONTH(NovSun1+17)=11),NovSun1+17,""),IF(AND(YEAR(NovSun1+24)=CalendarYear,MONTH(NovSun1+24)=11),NovSun1+24,""))</f>
        <v>45979</v>
      </c>
      <c r="U28" s="40">
        <f>IF(DAY(NovSun1)=1,IF(AND(YEAR(NovSun1+18)=CalendarYear,MONTH(NovSun1+18)=11),NovSun1+18,""),IF(AND(YEAR(NovSun1+25)=CalendarYear,MONTH(NovSun1+25)=11),NovSun1+25,""))</f>
        <v>45980</v>
      </c>
      <c r="V28" s="42">
        <f>IF(DAY(NovSun1)=1,IF(AND(YEAR(NovSun1+19)=CalendarYear,MONTH(NovSun1+19)=11),NovSun1+19,""),IF(AND(YEAR(NovSun1+26)=CalendarYear,MONTH(NovSun1+26)=11),NovSun1+26,""))</f>
        <v>45981</v>
      </c>
      <c r="W28" s="40">
        <f>IF(DAY(NovSun1)=1,IF(AND(YEAR(NovSun1+20)=CalendarYear,MONTH(NovSun1+20)=11),NovSun1+20,""),IF(AND(YEAR(NovSun1+27)=CalendarYear,MONTH(NovSun1+27)=11),NovSun1+27,""))</f>
        <v>45982</v>
      </c>
      <c r="X28" s="40">
        <f>IF(DAY(NovSun1)=1,IF(AND(YEAR(NovSun1+21)=CalendarYear,MONTH(NovSun1+21)=11),NovSun1+21,""),IF(AND(YEAR(NovSun1+28)=CalendarYear,MONTH(NovSun1+28)=11),NovSun1+28,""))</f>
        <v>45983</v>
      </c>
      <c r="Y28" s="20"/>
      <c r="Z28" s="39">
        <f>IF(DAY(DecSun1)=1,IF(AND(YEAR(DecSun1+15)=CalendarYear,MONTH(DecSun1+15)=12),DecSun1+15,""),IF(AND(YEAR(DecSun1+22)=CalendarYear,MONTH(DecSun1+22)=12),DecSun1+22,""))</f>
        <v>46012</v>
      </c>
      <c r="AA28" s="39">
        <f>IF(DAY(DecSun1)=1,IF(AND(YEAR(DecSun1+16)=CalendarYear,MONTH(DecSun1+16)=12),DecSun1+16,""),IF(AND(YEAR(DecSun1+23)=CalendarYear,MONTH(DecSun1+23)=12),DecSun1+23,""))</f>
        <v>46013</v>
      </c>
      <c r="AB28" s="39">
        <f>IF(DAY(DecSun1)=1,IF(AND(YEAR(DecSun1+17)=CalendarYear,MONTH(DecSun1+17)=12),DecSun1+17,""),IF(AND(YEAR(DecSun1+24)=CalendarYear,MONTH(DecSun1+24)=12),DecSun1+24,""))</f>
        <v>46014</v>
      </c>
      <c r="AC28" s="40">
        <f>IF(DAY(DecSun1)=1,IF(AND(YEAR(DecSun1+18)=CalendarYear,MONTH(DecSun1+18)=12),DecSun1+18,""),IF(AND(YEAR(DecSun1+25)=CalendarYear,MONTH(DecSun1+25)=12),DecSun1+25,""))</f>
        <v>46015</v>
      </c>
      <c r="AD28" s="42">
        <f>IF(DAY(DecSun1)=1,IF(AND(YEAR(DecSun1+19)=CalendarYear,MONTH(DecSun1+19)=12),DecSun1+19,""),IF(AND(YEAR(DecSun1+26)=CalendarYear,MONTH(DecSun1+26)=12),DecSun1+26,""))</f>
        <v>46016</v>
      </c>
      <c r="AE28" s="40">
        <f>IF(DAY(DecSun1)=1,IF(AND(YEAR(DecSun1+20)=CalendarYear,MONTH(DecSun1+20)=12),DecSun1+20,""),IF(AND(YEAR(DecSun1+27)=CalendarYear,MONTH(DecSun1+27)=12),DecSun1+27,""))</f>
        <v>46017</v>
      </c>
      <c r="AF28" s="40">
        <f>IF(DAY(DecSun1)=1,IF(AND(YEAR(DecSun1+21)=CalendarYear,MONTH(DecSun1+21)=12),DecSun1+21,""),IF(AND(YEAR(DecSun1+28)=CalendarYear,MONTH(DecSun1+28)=12),DecSun1+28,""))</f>
        <v>46018</v>
      </c>
    </row>
    <row r="29" spans="1:32" s="8" customFormat="1" ht="44.1" customHeight="1">
      <c r="A29" s="20"/>
      <c r="B29" s="41">
        <f>IF(DAY(SepSun1)=1,IF(AND(YEAR(SepSun1+22)=CalendarYear,MONTH(SepSun1+22)=9),SepSun1+22,""),IF(AND(YEAR(SepSun1+29)=CalendarYear,MONTH(SepSun1+29)=9),SepSun1+29,""))</f>
        <v>45928</v>
      </c>
      <c r="C29" s="41">
        <f>IF(DAY(SepSun1)=1,IF(AND(YEAR(SepSun1+23)=CalendarYear,MONTH(SepSun1+23)=9),SepSun1+23,""),IF(AND(YEAR(SepSun1+30)=CalendarYear,MONTH(SepSun1+30)=9),SepSun1+30,""))</f>
        <v>45929</v>
      </c>
      <c r="D29" s="43">
        <f>IF(DAY(SepSun1)=1,IF(AND(YEAR(SepSun1+24)=CalendarYear,MONTH(SepSun1+24)=9),SepSun1+24,""),IF(AND(YEAR(SepSun1+31)=CalendarYear,MONTH(SepSun1+31)=9),SepSun1+31,""))</f>
        <v>45930</v>
      </c>
      <c r="E29" s="43" t="str">
        <f>IF(DAY(SepSun1)=1,IF(AND(YEAR(SepSun1+25)=CalendarYear,MONTH(SepSun1+25)=9),SepSun1+25,""),IF(AND(YEAR(SepSun1+32)=CalendarYear,MONTH(SepSun1+32)=9),SepSun1+32,""))</f>
        <v/>
      </c>
      <c r="F29" s="43" t="str">
        <f>IF(DAY(SepSun1)=1,IF(AND(YEAR(SepSun1+26)=CalendarYear,MONTH(SepSun1+26)=9),SepSun1+26,""),IF(AND(YEAR(SepSun1+33)=CalendarYear,MONTH(SepSun1+33)=9),SepSun1+33,""))</f>
        <v/>
      </c>
      <c r="G29" s="37" t="str">
        <f>IF(DAY(SepSun1)=1,IF(AND(YEAR(SepSun1+27)=CalendarYear,MONTH(SepSun1+27)=9),SepSun1+27,""),IF(AND(YEAR(SepSun1+34)=CalendarYear,MONTH(SepSun1+34)=9),SepSun1+34,""))</f>
        <v/>
      </c>
      <c r="H29" s="37" t="str">
        <f>IF(DAY(SepSun1)=1,IF(AND(YEAR(SepSun1+28)=CalendarYear,MONTH(SepSun1+28)=9),SepSun1+28,""),IF(AND(YEAR(SepSun1+35)=CalendarYear,MONTH(SepSun1+35)=9),SepSun1+35,""))</f>
        <v/>
      </c>
      <c r="I29" s="20"/>
      <c r="J29" s="50" t="s">
        <v>25</v>
      </c>
      <c r="K29" s="50"/>
      <c r="L29" s="50"/>
      <c r="M29" s="50"/>
      <c r="N29" s="50"/>
      <c r="O29" s="50"/>
      <c r="P29" s="37" t="str">
        <f>IF(DAY(OctSun1)=1,IF(AND(YEAR(OctSun1+28)=CalendarYear,MONTH(OctSun1+28)=10),OctSun1+28,""),IF(AND(YEAR(OctSun1+35)=CalendarYear,MONTH(OctSun1+35)=10),OctSun1+35,""))</f>
        <v/>
      </c>
      <c r="Q29" s="20"/>
      <c r="R29" s="41">
        <f>IF(DAY(NovSun1)=1,IF(AND(YEAR(NovSun1+22)=CalendarYear,MONTH(NovSun1+22)=11),NovSun1+22,""),IF(AND(YEAR(NovSun1+29)=CalendarYear,MONTH(NovSun1+29)=11),NovSun1+29,""))</f>
        <v>45984</v>
      </c>
      <c r="S29" s="41">
        <f>IF(DAY(NovSun1)=1,IF(AND(YEAR(NovSun1+23)=CalendarYear,MONTH(NovSun1+23)=11),NovSun1+23,""),IF(AND(YEAR(NovSun1+30)=CalendarYear,MONTH(NovSun1+30)=11),NovSun1+30,""))</f>
        <v>45985</v>
      </c>
      <c r="T29" s="43">
        <f>IF(DAY(NovSun1)=1,IF(AND(YEAR(NovSun1+24)=CalendarYear,MONTH(NovSun1+24)=11),NovSun1+24,""),IF(AND(YEAR(NovSun1+31)=CalendarYear,MONTH(NovSun1+31)=11),NovSun1+31,""))</f>
        <v>45986</v>
      </c>
      <c r="U29" s="43">
        <f>IF(DAY(NovSun1)=1,IF(AND(YEAR(NovSun1+25)=CalendarYear,MONTH(NovSun1+25)=11),NovSun1+25,""),IF(AND(YEAR(NovSun1+32)=CalendarYear,MONTH(NovSun1+32)=11),NovSun1+32,""))</f>
        <v>45987</v>
      </c>
      <c r="V29" s="38">
        <f>IF(DAY(NovSun1)=1,IF(AND(YEAR(NovSun1+26)=CalendarYear,MONTH(NovSun1+26)=11),NovSun1+26,""),IF(AND(YEAR(NovSun1+33)=CalendarYear,MONTH(NovSun1+33)=11),NovSun1+33,""))</f>
        <v>45988</v>
      </c>
      <c r="W29" s="37">
        <f>IF(DAY(NovSun1)=1,IF(AND(YEAR(NovSun1+27)=CalendarYear,MONTH(NovSun1+27)=11),NovSun1+27,""),IF(AND(YEAR(NovSun1+34)=CalendarYear,MONTH(NovSun1+34)=11),NovSun1+34,""))</f>
        <v>45989</v>
      </c>
      <c r="X29" s="37">
        <f>IF(DAY(NovSun1)=1,IF(AND(YEAR(NovSun1+28)=CalendarYear,MONTH(NovSun1+28)=11),NovSun1+28,""),IF(AND(YEAR(NovSun1+35)=CalendarYear,MONTH(NovSun1+35)=11),NovSun1+35,""))</f>
        <v>45990</v>
      </c>
      <c r="Y29" s="20"/>
      <c r="Z29" s="41">
        <f>IF(DAY(DecSun1)=1,IF(AND(YEAR(DecSun1+22)=CalendarYear,MONTH(DecSun1+22)=12),DecSun1+22,""),IF(AND(YEAR(DecSun1+29)=CalendarYear,MONTH(DecSun1+29)=12),DecSun1+29,""))</f>
        <v>46019</v>
      </c>
      <c r="AA29" s="41">
        <f>IF(DAY(DecSun1)=1,IF(AND(YEAR(DecSun1+23)=CalendarYear,MONTH(DecSun1+23)=12),DecSun1+23,""),IF(AND(YEAR(DecSun1+30)=CalendarYear,MONTH(DecSun1+30)=12),DecSun1+30,""))</f>
        <v>46020</v>
      </c>
      <c r="AB29" s="43">
        <f>IF(DAY(DecSun1)=1,IF(AND(YEAR(DecSun1+24)=CalendarYear,MONTH(DecSun1+24)=12),DecSun1+24,""),IF(AND(YEAR(DecSun1+31)=CalendarYear,MONTH(DecSun1+31)=12),DecSun1+31,""))</f>
        <v>46021</v>
      </c>
      <c r="AC29" s="43">
        <f>IF(DAY(DecSun1)=1,IF(AND(YEAR(DecSun1+25)=CalendarYear,MONTH(DecSun1+25)=12),DecSun1+25,""),IF(AND(YEAR(DecSun1+32)=CalendarYear,MONTH(DecSun1+32)=12),DecSun1+32,""))</f>
        <v>46022</v>
      </c>
      <c r="AD29" s="43" t="str">
        <f>IF(DAY(DecSun1)=1,IF(AND(YEAR(DecSun1+26)=CalendarYear,MONTH(DecSun1+26)=12),DecSun1+26,""),IF(AND(YEAR(DecSun1+33)=CalendarYear,MONTH(DecSun1+33)=12),DecSun1+33,""))</f>
        <v/>
      </c>
      <c r="AE29" s="37" t="str">
        <f>IF(DAY(DecSun1)=1,IF(AND(YEAR(DecSun1+27)=CalendarYear,MONTH(DecSun1+27)=12),DecSun1+27,""),IF(AND(YEAR(DecSun1+34)=CalendarYear,MONTH(DecSun1+34)=12),DecSun1+34,""))</f>
        <v/>
      </c>
      <c r="AF29" s="37" t="str">
        <f>IF(DAY(DecSun1)=1,IF(AND(YEAR(DecSun1+28)=CalendarYear,MONTH(DecSun1+28)=12),DecSun1+28,""),IF(AND(YEAR(DecSun1+35)=CalendarYear,MONTH(DecSun1+35)=12),DecSun1+35,""))</f>
        <v/>
      </c>
    </row>
    <row r="30" spans="1:32" s="8" customFormat="1" ht="44.1" customHeight="1">
      <c r="A30" s="20"/>
      <c r="B30" s="41" t="str">
        <f>IF(DAY(SepSun1)=1,IF(AND(YEAR(SepSun1+29)=CalendarYear,MONTH(SepSun1+29)=9),SepSun1+29,""),IF(AND(YEAR(SepSun1+36)=CalendarYear,MONTH(SepSun1+36)=9),SepSun1+36,""))</f>
        <v/>
      </c>
      <c r="C30" s="41" t="str">
        <f>IF(DAY(SepSun1)=1,IF(AND(YEAR(SepSun1+30)=CalendarYear,MONTH(SepSun1+30)=9),SepSun1+30,""),IF(AND(YEAR(SepSun1+37)=CalendarYear,MONTH(SepSun1+37)=9),SepSun1+37,""))</f>
        <v/>
      </c>
      <c r="D30" s="43" t="str">
        <f>IF(DAY(SepSun1)=1,IF(AND(YEAR(SepSun1+31)=CalendarYear,MONTH(SepSun1+31)=9),SepSun1+31,""),IF(AND(YEAR(SepSun1+38)=CalendarYear,MONTH(SepSun1+38)=9),SepSun1+38,""))</f>
        <v/>
      </c>
      <c r="E30" s="43" t="str">
        <f>IF(DAY(SepSun1)=1,IF(AND(YEAR(SepSun1+32)=CalendarYear,MONTH(SepSun1+32)=9),SepSun1+32,""),IF(AND(YEAR(SepSun1+39)=CalendarYear,MONTH(SepSun1+39)=9),SepSun1+39,""))</f>
        <v/>
      </c>
      <c r="F30" s="43" t="str">
        <f>IF(DAY(SepSun1)=1,IF(AND(YEAR(SepSun1+33)=CalendarYear,MONTH(SepSun1+33)=9),SepSun1+33,""),IF(AND(YEAR(SepSun1+40)=CalendarYear,MONTH(SepSun1+40)=9),SepSun1+40,""))</f>
        <v/>
      </c>
      <c r="G30" s="37" t="str">
        <f>IF(DAY(SepSun1)=1,IF(AND(YEAR(SepSun1+34)=CalendarYear,MONTH(SepSun1+34)=9),SepSun1+34,""),IF(AND(YEAR(SepSun1+41)=CalendarYear,MONTH(SepSun1+41)=9),SepSun1+41,""))</f>
        <v/>
      </c>
      <c r="H30" s="37" t="str">
        <f>IF(DAY(SepSun1)=1,IF(AND(YEAR(SepSun1+35)=CalendarYear,MONTH(SepSun1+35)=9),SepSun1+35,""),IF(AND(YEAR(SepSun1+42)=CalendarYear,MONTH(SepSun1+42)=9),SepSun1+42,""))</f>
        <v/>
      </c>
      <c r="I30" s="20"/>
      <c r="J30" s="41" t="str">
        <f>IF(DAY(OctSun1)=1,IF(AND(YEAR(OctSun1+29)=CalendarYear,MONTH(OctSun1+29)=10),OctSun1+29,""),IF(AND(YEAR(OctSun1+36)=CalendarYear,MONTH(OctSun1+36)=10),OctSun1+36,""))</f>
        <v/>
      </c>
      <c r="K30" s="41" t="str">
        <f>IF(DAY(OctSun1)=1,IF(AND(YEAR(OctSun1+30)=CalendarYear,MONTH(OctSun1+30)=10),OctSun1+30,""),IF(AND(YEAR(OctSun1+37)=CalendarYear,MONTH(OctSun1+37)=10),OctSun1+37,""))</f>
        <v/>
      </c>
      <c r="L30" s="43" t="str">
        <f>IF(DAY(OctSun1)=1,IF(AND(YEAR(OctSun1+31)=CalendarYear,MONTH(OctSun1+31)=10),OctSun1+31,""),IF(AND(YEAR(OctSun1+38)=CalendarYear,MONTH(OctSun1+38)=10),OctSun1+38,""))</f>
        <v/>
      </c>
      <c r="M30" s="43" t="str">
        <f>IF(DAY(OctSun1)=1,IF(AND(YEAR(OctSun1+32)=CalendarYear,MONTH(OctSun1+32)=10),OctSun1+32,""),IF(AND(YEAR(OctSun1+39)=CalendarYear,MONTH(OctSun1+39)=10),OctSun1+39,""))</f>
        <v/>
      </c>
      <c r="N30" s="43" t="str">
        <f>IF(DAY(OctSun1)=1,IF(AND(YEAR(OctSun1+33)=CalendarYear,MONTH(OctSun1+33)=10),OctSun1+33,""),IF(AND(YEAR(OctSun1+40)=CalendarYear,MONTH(OctSun1+40)=10),OctSun1+40,""))</f>
        <v/>
      </c>
      <c r="O30" s="37" t="str">
        <f>IF(DAY(OctSun1)=1,IF(AND(YEAR(OctSun1+34)=CalendarYear,MONTH(OctSun1+34)=10),OctSun1+34,""),IF(AND(YEAR(OctSun1+41)=CalendarYear,MONTH(OctSun1+41)=10),OctSun1+41,""))</f>
        <v/>
      </c>
      <c r="P30" s="37" t="str">
        <f>IF(DAY(OctSun1)=1,IF(AND(YEAR(OctSun1+35)=CalendarYear,MONTH(OctSun1+35)=10),OctSun1+35,""),IF(AND(YEAR(OctSun1+42)=CalendarYear,MONTH(OctSun1+42)=10),OctSun1+42,""))</f>
        <v/>
      </c>
      <c r="Q30" s="20"/>
      <c r="R30" s="41">
        <f>IF(DAY(NovSun1)=1,IF(AND(YEAR(NovSun1+29)=CalendarYear,MONTH(NovSun1+29)=11),NovSun1+29,""),IF(AND(YEAR(NovSun1+36)=CalendarYear,MONTH(NovSun1+36)=11),NovSun1+36,""))</f>
        <v>45991</v>
      </c>
      <c r="S30" s="41" t="str">
        <f>IF(DAY(NovSun1)=1,IF(AND(YEAR(NovSun1+30)=CalendarYear,MONTH(NovSun1+30)=11),NovSun1+30,""),IF(AND(YEAR(NovSun1+37)=CalendarYear,MONTH(NovSun1+37)=11),NovSun1+37,""))</f>
        <v/>
      </c>
      <c r="T30" s="43" t="str">
        <f>IF(DAY(NovSun1)=1,IF(AND(YEAR(NovSun1+31)=CalendarYear,MONTH(NovSun1+31)=11),NovSun1+31,""),IF(AND(YEAR(NovSun1+38)=CalendarYear,MONTH(NovSun1+38)=11),NovSun1+38,""))</f>
        <v/>
      </c>
      <c r="U30" s="43" t="str">
        <f>IF(DAY(NovSun1)=1,IF(AND(YEAR(NovSun1+32)=CalendarYear,MONTH(NovSun1+32)=11),NovSun1+32,""),IF(AND(YEAR(NovSun1+39)=CalendarYear,MONTH(NovSun1+39)=11),NovSun1+39,""))</f>
        <v/>
      </c>
      <c r="V30" s="43" t="str">
        <f>IF(DAY(NovSun1)=1,IF(AND(YEAR(NovSun1+33)=CalendarYear,MONTH(NovSun1+33)=11),NovSun1+33,""),IF(AND(YEAR(NovSun1+40)=CalendarYear,MONTH(NovSun1+40)=11),NovSun1+40,""))</f>
        <v/>
      </c>
      <c r="W30" s="37" t="str">
        <f>IF(DAY(NovSun1)=1,IF(AND(YEAR(NovSun1+34)=CalendarYear,MONTH(NovSun1+34)=11),NovSun1+34,""),IF(AND(YEAR(NovSun1+41)=CalendarYear,MONTH(NovSun1+41)=11),NovSun1+41,""))</f>
        <v/>
      </c>
      <c r="X30" s="37" t="str">
        <f>IF(DAY(NovSun1)=1,IF(AND(YEAR(NovSun1+35)=CalendarYear,MONTH(NovSun1+35)=11),NovSun1+35,""),IF(AND(YEAR(NovSun1+42)=CalendarYear,MONTH(NovSun1+42)=11),NovSun1+42,""))</f>
        <v/>
      </c>
      <c r="Y30" s="20"/>
      <c r="Z30" s="41" t="str">
        <f>IF(DAY(DecSun1)=1,IF(AND(YEAR(DecSun1+29)=CalendarYear,MONTH(DecSun1+29)=12),DecSun1+29,""),IF(AND(YEAR(DecSun1+36)=CalendarYear,MONTH(DecSun1+36)=12),DecSun1+36,""))</f>
        <v/>
      </c>
      <c r="AA30" s="41" t="str">
        <f>IF(DAY(DecSun1)=1,IF(AND(YEAR(DecSun1+30)=CalendarYear,MONTH(DecSun1+30)=12),DecSun1+30,""),IF(AND(YEAR(DecSun1+37)=CalendarYear,MONTH(DecSun1+37)=12),DecSun1+37,""))</f>
        <v/>
      </c>
      <c r="AB30" s="43" t="str">
        <f>IF(DAY(DecSun1)=1,IF(AND(YEAR(DecSun1+31)=CalendarYear,MONTH(DecSun1+31)=12),DecSun1+31,""),IF(AND(YEAR(DecSun1+38)=CalendarYear,MONTH(DecSun1+38)=12),DecSun1+38,""))</f>
        <v/>
      </c>
      <c r="AC30" s="43" t="str">
        <f>IF(DAY(DecSun1)=1,IF(AND(YEAR(DecSun1+32)=CalendarYear,MONTH(DecSun1+32)=12),DecSun1+32,""),IF(AND(YEAR(DecSun1+39)=CalendarYear,MONTH(DecSun1+39)=12),DecSun1+39,""))</f>
        <v/>
      </c>
      <c r="AD30" s="43" t="str">
        <f>IF(DAY(DecSun1)=1,IF(AND(YEAR(DecSun1+33)=CalendarYear,MONTH(DecSun1+33)=12),DecSun1+33,""),IF(AND(YEAR(DecSun1+40)=CalendarYear,MONTH(DecSun1+40)=12),DecSun1+40,""))</f>
        <v/>
      </c>
      <c r="AE30" s="37" t="str">
        <f>IF(DAY(DecSun1)=1,IF(AND(YEAR(DecSun1+34)=CalendarYear,MONTH(DecSun1+34)=12),DecSun1+34,""),IF(AND(YEAR(DecSun1+41)=CalendarYear,MONTH(DecSun1+41)=12),DecSun1+41,""))</f>
        <v/>
      </c>
      <c r="AF30" s="37" t="str">
        <f>IF(DAY(DecSun1)=1,IF(AND(YEAR(DecSun1+35)=CalendarYear,MONTH(DecSun1+35)=12),DecSun1+35,""),IF(AND(YEAR(DecSun1+42)=CalendarYear,MONTH(DecSun1+42)=12),DecSun1+42,""))</f>
        <v/>
      </c>
    </row>
    <row r="31" spans="1:32" s="7" customFormat="1" ht="44.1" customHeight="1"/>
    <row r="32" spans="1:32" ht="44.1" customHeight="1">
      <c r="B32" s="26"/>
      <c r="C32"/>
      <c r="D32"/>
    </row>
    <row r="33" spans="2:14" ht="44.1" customHeight="1">
      <c r="B33"/>
      <c r="C33"/>
      <c r="D33"/>
      <c r="H33" s="31"/>
      <c r="I33" s="33"/>
      <c r="J33" s="31"/>
      <c r="K33" s="32"/>
      <c r="L33" s="32"/>
      <c r="M33" s="31"/>
      <c r="N33" s="31"/>
    </row>
    <row r="34" spans="2:14" ht="44.1" customHeight="1">
      <c r="B34"/>
      <c r="C34"/>
      <c r="D34"/>
    </row>
    <row r="35" spans="2:14" ht="44.1" customHeight="1">
      <c r="B35" s="29"/>
      <c r="C35"/>
      <c r="D35"/>
    </row>
    <row r="36" spans="2:14" ht="44.1" customHeight="1">
      <c r="B36"/>
      <c r="C36"/>
      <c r="D36"/>
    </row>
    <row r="37" spans="2:14" ht="44.1" customHeight="1">
      <c r="B37"/>
      <c r="C37"/>
      <c r="D37"/>
    </row>
    <row r="38" spans="2:14" ht="44.1" customHeight="1">
      <c r="B38" s="26"/>
      <c r="C38"/>
      <c r="D38"/>
    </row>
    <row r="39" spans="2:14" ht="44.1" customHeight="1">
      <c r="B39"/>
      <c r="C39"/>
      <c r="D39"/>
    </row>
    <row r="40" spans="2:14" ht="44.1" customHeight="1">
      <c r="B40"/>
      <c r="C40"/>
      <c r="D40"/>
    </row>
    <row r="41" spans="2:14" ht="44.1" customHeight="1">
      <c r="B41" s="26"/>
      <c r="C41"/>
      <c r="D41"/>
    </row>
    <row r="42" spans="2:14" ht="44.1" customHeight="1">
      <c r="B42"/>
      <c r="C42"/>
      <c r="D42"/>
    </row>
    <row r="43" spans="2:14" ht="44.1" customHeight="1">
      <c r="B43"/>
      <c r="C43"/>
      <c r="D43"/>
    </row>
    <row r="44" spans="2:14" ht="44.1" customHeight="1">
      <c r="B44" s="26"/>
      <c r="C44"/>
      <c r="D44"/>
    </row>
    <row r="45" spans="2:14" ht="44.1" customHeight="1">
      <c r="B45"/>
      <c r="C45"/>
      <c r="D45"/>
    </row>
    <row r="46" spans="2:14" ht="44.1" customHeight="1">
      <c r="B46"/>
      <c r="C46"/>
      <c r="D46"/>
    </row>
    <row r="47" spans="2:14" ht="44.1" customHeight="1">
      <c r="B47"/>
      <c r="C47"/>
      <c r="D47"/>
    </row>
    <row r="48" spans="2:14" ht="44.1" customHeight="1">
      <c r="B48"/>
      <c r="C48"/>
      <c r="D48"/>
    </row>
    <row r="49" spans="2:4" ht="44.1" customHeight="1">
      <c r="B49" s="26"/>
      <c r="C49"/>
      <c r="D49"/>
    </row>
    <row r="50" spans="2:4" ht="44.1" customHeight="1">
      <c r="B50"/>
    </row>
    <row r="51" spans="2:4" ht="44.1" customHeight="1">
      <c r="B51" s="26"/>
    </row>
    <row r="52" spans="2:4" ht="44.1" customHeight="1">
      <c r="B52"/>
    </row>
    <row r="53" spans="2:4" ht="44.1" customHeight="1">
      <c r="B53"/>
    </row>
    <row r="54" spans="2:4" ht="44.1" customHeight="1">
      <c r="B54"/>
    </row>
    <row r="55" spans="2:4" ht="44.1" customHeight="1">
      <c r="B55"/>
    </row>
    <row r="56" spans="2:4" ht="44.1" customHeight="1">
      <c r="B56"/>
    </row>
    <row r="57" spans="2:4" ht="44.1" customHeight="1">
      <c r="B57"/>
    </row>
    <row r="58" spans="2:4" ht="44.1" customHeight="1">
      <c r="B58"/>
    </row>
    <row r="59" spans="2:4" ht="44.1" customHeight="1">
      <c r="B59"/>
    </row>
    <row r="60" spans="2:4" ht="44.1" customHeight="1">
      <c r="B60"/>
    </row>
    <row r="61" spans="2:4" ht="44.1" customHeight="1">
      <c r="B61"/>
    </row>
    <row r="62" spans="2:4" ht="44.1" customHeight="1">
      <c r="B62"/>
    </row>
    <row r="63" spans="2:4" ht="44.1" customHeight="1">
      <c r="B63"/>
    </row>
  </sheetData>
  <mergeCells count="41">
    <mergeCell ref="R19:S19"/>
    <mergeCell ref="R5:X5"/>
    <mergeCell ref="Z5:AF5"/>
    <mergeCell ref="B14:H14"/>
    <mergeCell ref="J14:P14"/>
    <mergeCell ref="R14:X14"/>
    <mergeCell ref="Z14:AF14"/>
    <mergeCell ref="L10:M10"/>
    <mergeCell ref="AD7:AF7"/>
    <mergeCell ref="AB9:AD9"/>
    <mergeCell ref="Z8:AB8"/>
    <mergeCell ref="T10:U10"/>
    <mergeCell ref="AB11:AC11"/>
    <mergeCell ref="AC1:AF1"/>
    <mergeCell ref="Z18:AF18"/>
    <mergeCell ref="S26:V26"/>
    <mergeCell ref="D17:F17"/>
    <mergeCell ref="C19:F19"/>
    <mergeCell ref="Z17:AE17"/>
    <mergeCell ref="T18:V18"/>
    <mergeCell ref="Z23:AF23"/>
    <mergeCell ref="B23:H23"/>
    <mergeCell ref="J23:P23"/>
    <mergeCell ref="R23:X23"/>
    <mergeCell ref="AA19:AE19"/>
    <mergeCell ref="B5:H5"/>
    <mergeCell ref="J5:P5"/>
    <mergeCell ref="S17:W17"/>
    <mergeCell ref="T19:U19"/>
    <mergeCell ref="J29:O29"/>
    <mergeCell ref="K17:L17"/>
    <mergeCell ref="B18:G18"/>
    <mergeCell ref="L8:M8"/>
    <mergeCell ref="L16:O16"/>
    <mergeCell ref="N10:P10"/>
    <mergeCell ref="C9:F9"/>
    <mergeCell ref="F16:G16"/>
    <mergeCell ref="L19:M19"/>
    <mergeCell ref="D27:E27"/>
    <mergeCell ref="J28:K28"/>
    <mergeCell ref="L28:M28"/>
  </mergeCells>
  <phoneticPr fontId="1" type="noConversion"/>
  <conditionalFormatting sqref="B7:AD7 B8:L8 N8:Z8 AC8:AF8 B9:C9 G9:AB9 AE9:AF9 B10:K10 Q10:T10 V10:AF10 B11:AB11 B12:AF13 I14:I15 Q14:Q15 Y14:Y15 B16:F16 H16:L16 P16:AF16 B17:D17 G17:K17 M17:S17 X17:Z17 AF17 B18 H18:T18 W18:Z19 B19:C19 G19:L19 N19:R19 AA19 AF19 B20:AF22 I23:I24 Q23:Q24 Y23:Y24 B25:AF25 B26:S26 W26:AF26 B27:D27 F27:AF27 N28:AF28 B28:J29 P29:AF29 B30:AF30">
    <cfRule type="containsBlanks" priority="13" stopIfTrue="1">
      <formula>LEN(TRIM(B7))=0</formula>
    </cfRule>
    <cfRule type="expression" dxfId="11" priority="17">
      <formula>COUNTIF(OtherDate, B7:AF30)</formula>
    </cfRule>
    <cfRule type="expression" dxfId="10" priority="18">
      <formula>COUNTIF(TrainingDate, B7:AF30)</formula>
    </cfRule>
    <cfRule type="expression" dxfId="9" priority="19">
      <formula>COUNTIF(EventDate, B7:AF30)</formula>
    </cfRule>
  </conditionalFormatting>
  <conditionalFormatting sqref="L28">
    <cfRule type="containsBlanks" priority="1" stopIfTrue="1">
      <formula>LEN(TRIM(L28))=0</formula>
    </cfRule>
    <cfRule type="expression" dxfId="8" priority="2">
      <formula>COUNTIF(OtherDate, L28:AP51)</formula>
    </cfRule>
    <cfRule type="expression" dxfId="7" priority="3">
      <formula>COUNTIF(TrainingDate, L28:AP51)</formula>
    </cfRule>
    <cfRule type="expression" dxfId="6" priority="4">
      <formula>COUNTIF(EventDate, L28:AP51)</formula>
    </cfRule>
  </conditionalFormatting>
  <conditionalFormatting sqref="T19">
    <cfRule type="containsBlanks" priority="5" stopIfTrue="1">
      <formula>LEN(TRIM(T19))=0</formula>
    </cfRule>
    <cfRule type="expression" dxfId="5" priority="6">
      <formula>COUNTIF(OtherDate, T19:AX42)</formula>
    </cfRule>
    <cfRule type="expression" dxfId="4" priority="7">
      <formula>COUNTIF(TrainingDate, T19:AX42)</formula>
    </cfRule>
    <cfRule type="expression" dxfId="3" priority="8">
      <formula>COUNTIF(EventDate, T19:AX42)</formula>
    </cfRule>
  </conditionalFormatting>
  <conditionalFormatting sqref="AD11:AF11">
    <cfRule type="containsBlanks" priority="9" stopIfTrue="1">
      <formula>LEN(TRIM(AD11))=0</formula>
    </cfRule>
    <cfRule type="expression" dxfId="2" priority="10">
      <formula>COUNTIF(OtherDate, AD11:BH34)</formula>
    </cfRule>
    <cfRule type="expression" dxfId="1" priority="11">
      <formula>COUNTIF(TrainingDate, AD11:BH34)</formula>
    </cfRule>
    <cfRule type="expression" dxfId="0" priority="12">
      <formula>COUNTIF(EventDate, AD11:BH34)</formula>
    </cfRule>
  </conditionalFormatting>
  <dataValidations xWindow="930" yWindow="481" count="32">
    <dataValidation allowBlank="1" showErrorMessage="1" promptTitle="test" prompt="dgfdsgdfs" sqref="M9" xr:uid="{0A55F5CE-A1B2-40AB-932A-3726AFB7E886}"/>
    <dataValidation allowBlank="1" showInputMessage="1" showErrorMessage="1" promptTitle="2025 NDAA Prosecutor Advocacy" prompt="February 4-5, 2025_x000a_Washington, DC_x000a_https://learn.ndaa.org/products/ndaa-2025-prosecutor-advocacy-conference" sqref="L8:M8" xr:uid="{2BAE5F80-F202-4F05-AEED-2223E6B47DCF}"/>
    <dataValidation allowBlank="1" showInputMessage="1" showErrorMessage="1" promptTitle="2025 SAKI TTA " prompt="February 18-19, 2025_x000a_Phoeniz, AZ_x000a_https://www.sakitta.org/newsandevents/event-data/2025-02-18/index.cfm" sqref="L10:M10" xr:uid="{A42D29A5-DCD6-4A70-8A8F-9560D40FD327}"/>
    <dataValidation allowBlank="1" showInputMessage="1" showErrorMessage="1" promptTitle="77th Annual AAFS" prompt="February 17-22, 2025_x000a_Baltimore, MD_x000a_https://www.aafs.org/annual-conference" sqref="K10 N10:P10" xr:uid="{4FA30FAC-B5F3-43D1-8081-0A99F33BAB59}"/>
    <dataValidation allowBlank="1" showInputMessage="1" showErrorMessage="1" promptTitle="OSAC All-Hands Meeting" prompt="May 6-8, 2025 _x000a_St. Louis, MO_x000a_https://www.nist.gov/organization-scientific-area-committees-forensic-science/news-%2526-communications/osac-events" sqref="D17:F17" xr:uid="{5ACF66B4-F4EC-4DAB-B506-01E71373AEC4}"/>
    <dataValidation allowBlank="1" showInputMessage="1" showErrorMessage="1" promptTitle="2025 Innocence Network" prompt="April 3-5, 2025_x000a_Seattle, WA_x000a_https://innocencenetwork.org/subcategory/conference-2025" sqref="AD7:AF7" xr:uid="{00565A65-741C-457C-98F6-5EAA5D612A5E}"/>
    <dataValidation allowBlank="1" showInputMessage="1" showErrorMessage="1" promptTitle="ASCLD 52nd Annual Symposium" prompt="April 4-8, 2025_x000a_Denver, CO_x000a_https://www.ascld.org/ascld-annual-symposium" sqref="Z8:AB8" xr:uid="{1EF8D756-A37A-43A9-BAEA-3395DC1E10A7}"/>
    <dataValidation allowBlank="1" showInputMessage="1" showErrorMessage="1" promptTitle="2025 NamUs" prompt="April 15-17, 2025_x000a_Las Vegas, NV_x000a_https://ncjtc.fvtc.edu/trainings/TR00000143/TRI2422442/national-missing-and-unidentified-persons-conference" sqref="AB9:AD9" xr:uid="{1F4D56AA-8C52-483B-8604-7FE47F39DD5C}"/>
    <dataValidation allowBlank="1" showInputMessage="1" showErrorMessage="1" promptTitle="AFTE" prompt="May 11-16, 2025_x000a_Anaheim, CA_x000a_https://na.eventscloud.com/website/74655/" sqref="B18:G18" xr:uid="{994C7B26-1A4A-4EFB-BDAE-9186A89CED02}"/>
    <dataValidation allowBlank="1" showInputMessage="1" showErrorMessage="1" promptTitle="20th Annual Crimes Against Women" prompt="May 19-22, 2025_x000a_Dallas, TX_x000a_https://conferencecaw.org/registration-2025" sqref="C19:F19" xr:uid="{333BB35B-0438-4E5D-BB53-FA992178F73B}"/>
    <dataValidation allowBlank="1" showInputMessage="1" showErrorMessage="1" promptTitle="2025 Bode Technology" prompt="June 3-6, 2025_x000a_Long Beach, CA_x000a_https://www.bodeconference.com" sqref="L16:O16" xr:uid="{2D4651AC-687C-4492-B34F-A859124DD6A0}"/>
    <dataValidation allowBlank="1" showInputMessage="1" showErrorMessage="1" promptTitle="3rd Annual BJA Forensics Program" prompt="June 9-10, 2025 _x000a_Virtual Event via Forensics TTA Virtual Academy_x000a_Link forthcoming" sqref="K17:L17" xr:uid="{70DE625E-55B0-4A48-B4B9-D735C101CC2B}"/>
    <dataValidation allowBlank="1" showInputMessage="1" showErrorMessage="1" promptTitle="SWGDAM" prompt="July 15-17, 2025_x000a_Virtual Event via Microsoft Teams_x000a_https://www.swgdam.org" sqref="T18:V18" xr:uid="{096CDD5A-C991-4173-8C11-FC7BB644D0D6}"/>
    <dataValidation allowBlank="1" showInputMessage="1" showErrorMessage="1" promptTitle="2025 IACME" prompt="July 20-24, 2025_x000a_Las Vegas, NV &amp; Virtual_x000a_https://theiacme.com/page/2025AnnualConference" sqref="R19:S19 V19" xr:uid="{BD549349-2930-4BAB-9552-06CC1FCCD9FE}"/>
    <dataValidation allowBlank="1" showInputMessage="1" showErrorMessage="1" promptTitle="2025 IHIA" prompt="August 3-8, 2025_x000a_Louisville, KY_x000a_https://ihia.org/event-5870535" sqref="Z17:AE17" xr:uid="{E9B22978-1948-4127-A453-11B7A254B947}"/>
    <dataValidation allowBlank="1" showInputMessage="1" showErrorMessage="1" promptTitle="2025 IAI" prompt="August 10-16, 2025_x000a_Orlando, FL_x000a_https://www.theiai.org/2025_orlando_conference.php" sqref="Z18:AF18" xr:uid="{BFC6205B-D7EE-418B-A4A7-7A7869676DA0}"/>
    <dataValidation allowBlank="1" showInputMessage="1" showErrorMessage="1" promptTitle="2025 SOFT" prompt="October 26-31, 2025_x000a_Portland, OR_x000a_https://www.soft-tox.org/annual-meeting-information" sqref="J29:O29" xr:uid="{B1A27F57-98FB-4362-BBA6-FC96D45282C3}"/>
    <dataValidation allowBlank="1" showInputMessage="1" showErrorMessage="1" promptTitle="2025 ISHI" prompt="November 3-6, 2025_x000a_Palm Beach, FL_x000a_https://www.ishinews.com" sqref="S26:V26" xr:uid="{25BF6197-54F3-4A5E-8B06-81AA41A95A43}"/>
    <dataValidation allowBlank="1" showInputMessage="1" showErrorMessage="1" promptTitle="IACP" prompt="October 18-21, 2025_x000a_Denver, CO_x000a_https://www.theiacpconference.org" sqref="P27" xr:uid="{40440E88-A817-4608-8D44-6247579687A5}"/>
    <dataValidation allowBlank="1" showInputMessage="1" showErrorMessage="1" promptTitle="SWGDAM Regular Meeting" prompt="January 13-16, 2025 _x000a_Virtual Event via Microsoft Teams_x000a_https://www.swgdam.org/_files/ugd/4344b0_288a858d850143d69a4f107086bcfaaf.pdf" sqref="C9:F9" xr:uid="{085B2463-883B-42B3-85B3-D821F7E5BF95}"/>
    <dataValidation allowBlank="1" showInputMessage="1" showErrorMessage="1" promptTitle="FBI IGG Training #2" prompt="April 28 - May 2, 2025_x000a_Sacramento, CA_x000a_https://www.sakitta.org/newsandevents/event-data/2025-03-17/index.cfm" sqref="F16" xr:uid="{6F9ED8AF-86CD-4D71-B873-80259695A429}"/>
    <dataValidation allowBlank="1" showInputMessage="1" showErrorMessage="1" promptTitle="FBI IGG Training #2" prompt="July 7-11, 2025_x000a_Research Triangle Park, NC_x000a_https://www.sakitta.org/newsandevents/event-data/2025-03-17/index.cfm" sqref="S17:W17" xr:uid="{4FF014F8-75B7-4569-8B3E-D26196A9B5A5}"/>
    <dataValidation allowBlank="1" showInputMessage="1" showErrorMessage="1" promptTitle="FBI IGG Training #3" prompt="August 18-22, 2025_x000a_Research Triangle Park, NC_x000a_https://www.sakitta.org/newsandevents/event-data/2025-03-17/index.cfm" sqref="AA19:AE19" xr:uid="{D147F7B1-5C19-459D-A6F0-A62E3CE9397B}"/>
    <dataValidation allowBlank="1" showInputMessage="1" showErrorMessage="1" promptTitle="OSAC Facial &amp; Iris Symposium" prompt="February 27, 2025 _x000a_Virtual Event via Microsoft Teams_x000a_https://www.nist.gov/system/files/documents/2024/09/13/OSAC%20Research%20Needs%20Symposium_Feb%202025.pdf" sqref="N11" xr:uid="{8AB04600-FA28-4435-A77E-53465D884FE9}"/>
    <dataValidation allowBlank="1" showInputMessage="1" showErrorMessage="1" promptTitle="2025 IACP" prompt="October 18-21, 2025_x000a_Denver, CO_x000a_https://www.theiacpconference.org" sqref="J28:K28" xr:uid="{81CD25E0-CD30-40FA-99FC-1EDBF52620D0}"/>
    <dataValidation allowBlank="1" showInputMessage="1" showErrorMessage="1" promptTitle="OJP Financial Management #3" prompt="June 24-25, 2025 _x000a_Washington, DC_x000a_https://gfmts.training.ojp.gov/index.html" sqref="L19:M19" xr:uid="{70347EE7-2DAA-4343-933C-0A20C1FEF860}"/>
    <dataValidation allowBlank="1" showInputMessage="1" showErrorMessage="1" promptTitle="FBI IGG Training #1" prompt="April 28 - May 2, 2025_x000a_Rancho Cordova, CA_x000a_https://www.sakitta.org/newsandevents/event-data/2025-03-17/index.cfm" sqref="AA11" xr:uid="{085B38E7-7B7B-4336-86EA-FCAE48188D8F}"/>
    <dataValidation allowBlank="1" showInputMessage="1" showErrorMessage="1" promptTitle="OJP Financial Management #1" prompt="June 24-25, 2025 _x000a_Washington, DC_x000a_https://gfmts.training.ojp.gov/index.html" sqref="T10:U10" xr:uid="{8EE105DC-2B32-4C64-B057-70CEA8DD5FA1}"/>
    <dataValidation allowBlank="1" showInputMessage="1" showErrorMessage="1" promptTitle="OJP Financial Management #5" prompt="June 24-25, 2025 _x000a_Washington, DC_x000a_https://gfmts.training.ojp.gov/index.html" sqref="D27:E27" xr:uid="{E04A66A4-AF9A-46B9-822F-1A0C19556492}"/>
    <dataValidation allowBlank="1" showInputMessage="1" showErrorMessage="1" promptTitle="OJP Financial Management #2" prompt="June 24-25, 2025 _x000a_Washington, DC_x000a_https://gfmts.training.ojp.gov/index.html" sqref="AB11:AC11" xr:uid="{C9DB8F1D-4E49-492E-81E8-E4D96BA0070B}"/>
    <dataValidation allowBlank="1" showInputMessage="1" showErrorMessage="1" promptTitle="OJP Financial Management #4" prompt="June 24-25, 2025 _x000a_Washington, DC_x000a_https://gfmts.training.ojp.gov/index.html" sqref="T19:U19" xr:uid="{10B0C9D3-7257-4714-B5D8-714B8719E6B7}"/>
    <dataValidation allowBlank="1" showInputMessage="1" showErrorMessage="1" promptTitle="OJP Financial Management #6" prompt="June 24-25, 2025 _x000a_Washington, DC_x000a_https://gfmts.training.ojp.gov/index.html" sqref="L28:M28" xr:uid="{5AE96433-9934-4EC2-A1AD-DC376F1EEB8A}"/>
  </dataValidations>
  <hyperlinks>
    <hyperlink ref="L10:M10" r:id="rId1" display="SAKI: Trauma Informed Victim Engagement " xr:uid="{BD1C967D-A3AC-4F88-B75E-5125D3D207FA}"/>
    <hyperlink ref="T18:V18" r:id="rId2" display="Scientific Working Group on DNA Analysis Methods" xr:uid="{925423C3-C05E-4BD1-BE48-D39530E1AAD8}"/>
    <hyperlink ref="AD7:AF7" r:id="rId3" display="Innocence Network " xr:uid="{B74D7ED7-75AC-4860-AD36-90F3F66DF05B}"/>
    <hyperlink ref="AB9:AD9" r:id="rId4" display="National Missing and Unidentified Persons" xr:uid="{4CE065B6-B99F-486C-9EEA-3DFF5F2F1C6C}"/>
    <hyperlink ref="N10:P10" r:id="rId5" display="American Academy of Forensic Science" xr:uid="{67A2D920-CC62-43AF-9AFF-232DDBC0A5C0}"/>
    <hyperlink ref="Z8:AB8" r:id="rId6" display="American Society of Crime Lab Directors" xr:uid="{390D9507-37EB-4A1F-B5D0-250244B3A0B1}"/>
    <hyperlink ref="D17:F17" r:id="rId7" display="Organization of Scientifice Area Committees for Forensic Science" xr:uid="{5CC928D4-437B-49F8-922C-C9688EB23756}"/>
    <hyperlink ref="C19:F19" r:id="rId8" display="Crimes Against Women" xr:uid="{D85A8115-6E2F-4BBC-A520-8E8A34D5BC40}"/>
    <hyperlink ref="Z17:AE17" r:id="rId9" display="International Homicide Investigators Association" xr:uid="{2F6F289F-C650-45BD-A4F3-501907360114}"/>
    <hyperlink ref="L16:O16" r:id="rId10" display="Bode Technology" xr:uid="{97A6827E-47F5-443A-9A03-40D84964E753}"/>
    <hyperlink ref="L8:M8" r:id="rId11" display="National District Attorneys Association Prosecutor Advocacy Conference" xr:uid="{642240C2-448C-4330-98B9-478B1489CA1A}"/>
    <hyperlink ref="Z18:AF18" r:id="rId12" display="International Association of Identification" xr:uid="{6F02FD47-50DD-47B0-A17D-ACC2403B0CB2}"/>
    <hyperlink ref="S26:V26" r:id="rId13" display="International Symposium on Human Identification" xr:uid="{D15A1FFE-DAC1-4514-8E40-7306B6DBE4C8}"/>
    <hyperlink ref="J29:O29" r:id="rId14" display="Society of Forensic Toxicologists Conference" xr:uid="{0664EC04-3DB2-4215-BFD9-FF5F3D39AA22}"/>
    <hyperlink ref="B18:G18" r:id="rId15" display="Association of Firearm and Tool Mark Examiners" xr:uid="{56A3531A-B8F4-4112-A12F-3A69FB2F898F}"/>
    <hyperlink ref="C9" r:id="rId16" display="Scientific Working Group on DNA Analysis Methods" xr:uid="{5FE71F00-C899-410F-8140-2B0D882E6D4B}"/>
    <hyperlink ref="S17:W17" r:id="rId17" display="FBI: IGG Training" xr:uid="{FC1DB66E-93FB-4704-A3F8-B20E051B929F}"/>
    <hyperlink ref="AA19:AE19" r:id="rId18" display="FBI: IGG Training" xr:uid="{A8524EE3-A83B-4A1E-A434-694E774A6A9E}"/>
    <hyperlink ref="N11" r:id="rId19" xr:uid="{A88E621D-8355-4F3D-A291-F39D1F6C9651}"/>
    <hyperlink ref="K17:L17" r:id="rId20" display="BJA Forensics Programs Grantees Meeting" xr:uid="{FF453740-3486-4D72-B3F9-68DA6785DD4E}"/>
    <hyperlink ref="L19:M19" r:id="rId21" display="OJP Financial Management Training #3" xr:uid="{71CD325E-7038-458D-8880-1852C0C69B9B}"/>
    <hyperlink ref="T10:U10" r:id="rId22" display="OJP Financial Management Training #3" xr:uid="{BB243F2D-A8AF-4921-A05B-94D2BCA9E868}"/>
    <hyperlink ref="D27:E27" r:id="rId23" display="OJP Financial Management Training #3" xr:uid="{5A94E443-1358-475D-A1FB-F8EE0D9F58AC}"/>
    <hyperlink ref="AB11:AC11" r:id="rId24" display="OJP Financial Management Training #3" xr:uid="{2F6876BF-49E6-433C-AE8D-134861A0FC25}"/>
    <hyperlink ref="T19:U19" r:id="rId25" display="OJP Financial Management Training #3" xr:uid="{ABE71C0A-AB18-49AA-A1B2-30FCB0ECAE09}"/>
    <hyperlink ref="L28:M28" r:id="rId26" display="OJP Financial Management Training #3" xr:uid="{8B20224B-1144-478D-AF3E-52CF054D717B}"/>
    <hyperlink ref="J28:K28" r:id="rId27" display="International Association of Chiefs of Police Conference" xr:uid="{2663BF67-4FA2-4696-BFC6-24F7E6B483EA}"/>
    <hyperlink ref="AA11" r:id="rId28" xr:uid="{CA4A51BD-A6C7-4000-9BAE-DF601EDEF734}"/>
    <hyperlink ref="F16:G16" r:id="rId29" display="FBI Investigative Genetic Genealogy Training #2" xr:uid="{0983F2DA-6BBD-42B1-9064-64C5F452CC82}"/>
    <hyperlink ref="R19:S19" r:id="rId30" display="International Association of Coroners and Medical Examiners Conference" xr:uid="{398F2E43-EEC5-47D1-B2BB-2949639A990B}"/>
  </hyperlinks>
  <printOptions horizontalCentered="1" verticalCentered="1"/>
  <pageMargins left="0.3" right="0.3" top="0.3" bottom="0.3" header="0" footer="0"/>
  <pageSetup scale="70" orientation="landscape" r:id="rId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9 1 w w W X 0 U F W K l A A A A 9 w A A A B I A H A B D b 2 5 m a W c v U G F j a 2 F n Z S 5 4 b W w g o h g A K K A U A A A A A A A A A A A A A A A A A A A A A A A A A A A A h Y 9 B D o I w F E S v Q r q n L d U Y Q z 5 l 4 V Y S E 6 J x S 2 q F R v g Y W i x 3 c + G R v I I Y R d 2 5 n J k 3 y c z 9 e o N 0 a O r g o j t r W k x I R D k J N K r 2 Y L B M S O + O 4 Z K k E j a F O h W l D k Y Y b T x Y k 5 D K u X P M m P e e + h l t u 5 I J z i O 2 z 9 a 5 q n R T h A a t K 1 B p 8 m k d / r e I h N 1 r j B Q 0 E g s q 5 l x Q D m x y I T P 4 J c Q 4 + J n + m L D q a 9 d 3 W m o M t z m w S Q J 7 n 5 A P U E s D B B Q A A g A I A P d c M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3 X D B Z K I p H u A 4 A A A A R A A A A E w A c A E Z v c m 1 1 b G F z L 1 N l Y 3 R p b 2 4 x L m 0 g o h g A K K A U A A A A A A A A A A A A A A A A A A A A A A A A A A A A K 0 5 N L s n M z 1 M I h t C G 1 g B Q S w E C L Q A U A A I A C A D 3 X D B Z f R Q V Y q U A A A D 3 A A A A E g A A A A A A A A A A A A A A A A A A A A A A Q 2 9 u Z m l n L 1 B h Y 2 t h Z 2 U u e G 1 s U E s B A i 0 A F A A C A A g A 9 1 w w W Q / K 6 a u k A A A A 6 Q A A A B M A A A A A A A A A A A A A A A A A 8 Q A A A F t D b 2 5 0 Z W 5 0 X 1 R 5 c G V z X S 5 4 b W x Q S w E C L Q A U A A I A C A D 3 X D B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M 3 l o w k 4 x t 0 6 c r 0 r D 7 d E 0 f Q A A A A A C A A A A A A A D Z g A A w A A A A B A A A A A 7 Q Y T 1 n a I R e x n 6 d S j d w K D 5 A A A A A A S A A A C g A A A A E A A A A P 7 9 0 H X 5 N 5 3 u y / Q M e 8 K t 2 0 h Q A A A A f W E D j y z k K i 5 n Y U w O E 9 o P F 0 o 0 u k 9 r 7 S 5 / f O b T S K 5 Z H p x E 5 y n k m s Q x c 7 k y / d + 6 7 q o e E o o q d p R e 9 Q u a s d J n 5 C C t w X T T I D E P R R s M 1 9 2 1 y B p c q I I U A A A A O N Z g V w y l B t i + 7 G K 4 0 h b E b i P o t z g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f27eb8-0e3d-496f-b523-771757bdd770">
      <Terms xmlns="http://schemas.microsoft.com/office/infopath/2007/PartnerControls"/>
    </lcf76f155ced4ddcb4097134ff3c332f>
    <TaxCatchAll xmlns="8416942f-d982-4ba4-a5b0-104826b4be24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E5814883B49940B4B8AAE202A6E984" ma:contentTypeVersion="16" ma:contentTypeDescription="Create a new document." ma:contentTypeScope="" ma:versionID="8b13c47b4c3e402023afa86d07fd7543">
  <xsd:schema xmlns:xsd="http://www.w3.org/2001/XMLSchema" xmlns:xs="http://www.w3.org/2001/XMLSchema" xmlns:p="http://schemas.microsoft.com/office/2006/metadata/properties" xmlns:ns2="8ef27eb8-0e3d-496f-b523-771757bdd770" xmlns:ns3="8416942f-d982-4ba4-a5b0-104826b4be24" targetNamespace="http://schemas.microsoft.com/office/2006/metadata/properties" ma:root="true" ma:fieldsID="ee60c690425ce5f26bdb67bca7fe9b8f" ns2:_="" ns3:_="">
    <xsd:import namespace="8ef27eb8-0e3d-496f-b523-771757bdd770"/>
    <xsd:import namespace="8416942f-d982-4ba4-a5b0-104826b4be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27eb8-0e3d-496f-b523-771757bdd7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6942f-d982-4ba4-a5b0-104826b4be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d50615b-cec2-4d56-b65e-8f4b56f4a57f}" ma:internalName="TaxCatchAll" ma:showField="CatchAllData" ma:web="8416942f-d982-4ba4-a5b0-104826b4be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A06DDC-CCCD-4339-A715-4E2FF1EAB7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B941E0-1132-4C8A-B19D-7C00359A184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8630AA01-BB81-40D6-A942-218AA32E8C75}">
  <ds:schemaRefs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ef27eb8-0e3d-496f-b523-771757bdd770"/>
    <ds:schemaRef ds:uri="http://purl.org/dc/elements/1.1/"/>
    <ds:schemaRef ds:uri="8416942f-d982-4ba4-a5b0-104826b4be24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89A149C-0AC5-430F-BF1D-6D9F37A844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f27eb8-0e3d-496f-b523-771757bdd770"/>
    <ds:schemaRef ds:uri="8416942f-d982-4ba4-a5b0-104826b4be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TM22790064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Forensics TTA Calendar 2025</vt:lpstr>
      <vt:lpstr>CalendarYear</vt:lpstr>
      <vt:lpstr>January</vt:lpstr>
      <vt:lpstr>Range_Days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2020-10-19T18:13:58Z</dcterms:created>
  <dcterms:modified xsi:type="dcterms:W3CDTF">2025-04-29T15:24:59Z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0x0101002FE5814883B49940B4B8AAE202A6E984</vt:lpwstr>
  </property>
  <property fmtid="{D5CDD505-2E9C-101B-9397-08002B2CF9AE}" pid="3" name="MediaServiceImageTags">
    <vt:lpwstr/>
  </property>
</Properties>
</file>